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bevilacquaknight.sharepoint.com/Projects/21759.000_SMAQMD ZEV Readiness/04_Work In Process/Web Map/"/>
    </mc:Choice>
  </mc:AlternateContent>
  <xr:revisionPtr revIDLastSave="148" documentId="8_{FC33F279-4E75-43D6-9706-32791EF95ED5}" xr6:coauthVersionLast="41" xr6:coauthVersionMax="41" xr10:uidLastSave="{08DDAF3F-0A34-403A-A93C-2BF1D623E693}"/>
  <bookViews>
    <workbookView xWindow="-120" yWindow="-120" windowWidth="29040" windowHeight="15840" xr2:uid="{3423031C-6515-4D00-99DA-7116F188C922}"/>
  </bookViews>
  <sheets>
    <sheet name="Census Tract Demographics" sheetId="6" r:id="rId1"/>
    <sheet name="Scoring Criteria" sheetId="7" r:id="rId2"/>
    <sheet name="Potential Station Locations" sheetId="5" r:id="rId3"/>
  </sheets>
  <definedNames>
    <definedName name="_Ref20150069" localSheetId="1">'Scoring Criteria'!$B$1</definedName>
    <definedName name="_Ref20151913" localSheetId="1">'Scoring Criteria'!#REF!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62" i="6" l="1"/>
  <c r="G428" i="6"/>
  <c r="F428" i="6"/>
  <c r="G427" i="6"/>
  <c r="F427" i="6"/>
  <c r="G426" i="6"/>
  <c r="F426" i="6"/>
  <c r="G425" i="6"/>
  <c r="F425" i="6"/>
  <c r="G424" i="6"/>
  <c r="F424" i="6"/>
  <c r="G423" i="6"/>
  <c r="F423" i="6"/>
  <c r="G422" i="6"/>
  <c r="F422" i="6"/>
  <c r="G421" i="6"/>
  <c r="F421" i="6"/>
  <c r="G420" i="6"/>
  <c r="F420" i="6"/>
  <c r="G419" i="6"/>
  <c r="G418" i="6"/>
  <c r="F418" i="6"/>
  <c r="G417" i="6"/>
  <c r="F417" i="6"/>
  <c r="G416" i="6"/>
  <c r="F416" i="6"/>
  <c r="G415" i="6"/>
  <c r="F415" i="6"/>
  <c r="G414" i="6"/>
  <c r="F414" i="6"/>
  <c r="G413" i="6"/>
  <c r="F413" i="6"/>
  <c r="E413" i="6"/>
  <c r="G412" i="6"/>
  <c r="F412" i="6"/>
  <c r="G411" i="6"/>
  <c r="F411" i="6"/>
  <c r="G410" i="6"/>
  <c r="F410" i="6"/>
  <c r="G409" i="6"/>
  <c r="F409" i="6"/>
  <c r="G408" i="6"/>
  <c r="F408" i="6"/>
  <c r="G407" i="6"/>
  <c r="F407" i="6"/>
  <c r="G406" i="6"/>
  <c r="F406" i="6"/>
  <c r="G405" i="6"/>
  <c r="F405" i="6"/>
  <c r="G404" i="6"/>
  <c r="G403" i="6"/>
  <c r="F403" i="6"/>
  <c r="G402" i="6"/>
  <c r="F402" i="6"/>
  <c r="G401" i="6"/>
  <c r="F401" i="6"/>
  <c r="G400" i="6"/>
  <c r="F400" i="6"/>
  <c r="G399" i="6"/>
  <c r="F399" i="6"/>
  <c r="G398" i="6"/>
  <c r="F398" i="6"/>
  <c r="G397" i="6"/>
  <c r="F397" i="6"/>
  <c r="G396" i="6"/>
  <c r="G395" i="6"/>
  <c r="F395" i="6"/>
  <c r="G394" i="6"/>
  <c r="F394" i="6"/>
  <c r="G393" i="6"/>
  <c r="F393" i="6"/>
  <c r="G392" i="6"/>
  <c r="F392" i="6"/>
  <c r="G391" i="6"/>
  <c r="F391" i="6"/>
  <c r="F390" i="6"/>
  <c r="G389" i="6"/>
  <c r="F389" i="6"/>
  <c r="G388" i="6"/>
  <c r="F388" i="6"/>
  <c r="G387" i="6"/>
  <c r="F387" i="6"/>
  <c r="G386" i="6"/>
  <c r="F386" i="6"/>
  <c r="G385" i="6"/>
  <c r="F385" i="6"/>
  <c r="G384" i="6"/>
  <c r="F384" i="6"/>
  <c r="G383" i="6"/>
  <c r="F383" i="6"/>
  <c r="G382" i="6"/>
  <c r="F382" i="6"/>
  <c r="G381" i="6"/>
  <c r="F381" i="6"/>
  <c r="G380" i="6"/>
  <c r="F380" i="6"/>
  <c r="G379" i="6"/>
  <c r="F379" i="6"/>
  <c r="G378" i="6"/>
  <c r="F378" i="6"/>
  <c r="G377" i="6"/>
  <c r="F377" i="6"/>
  <c r="G376" i="6"/>
  <c r="F376" i="6"/>
  <c r="G375" i="6"/>
  <c r="F375" i="6"/>
  <c r="G374" i="6"/>
  <c r="F374" i="6"/>
  <c r="G373" i="6"/>
  <c r="F373" i="6"/>
  <c r="G372" i="6"/>
  <c r="F372" i="6"/>
  <c r="G371" i="6"/>
  <c r="F371" i="6"/>
  <c r="G370" i="6"/>
  <c r="F370" i="6"/>
  <c r="G369" i="6"/>
  <c r="F369" i="6"/>
  <c r="G368" i="6"/>
  <c r="F368" i="6"/>
  <c r="G367" i="6"/>
  <c r="F367" i="6"/>
  <c r="G366" i="6"/>
  <c r="F366" i="6"/>
  <c r="G365" i="6"/>
  <c r="F365" i="6"/>
  <c r="G364" i="6"/>
  <c r="F364" i="6"/>
  <c r="G363" i="6"/>
  <c r="F363" i="6"/>
  <c r="G362" i="6"/>
  <c r="F362" i="6"/>
  <c r="G361" i="6"/>
  <c r="F361" i="6"/>
  <c r="G360" i="6"/>
  <c r="F360" i="6"/>
  <c r="G359" i="6"/>
  <c r="F359" i="6"/>
  <c r="G358" i="6"/>
  <c r="F358" i="6"/>
  <c r="G357" i="6"/>
  <c r="F357" i="6"/>
  <c r="G356" i="6"/>
  <c r="F356" i="6"/>
  <c r="G355" i="6"/>
  <c r="F355" i="6"/>
  <c r="G354" i="6"/>
  <c r="F354" i="6"/>
  <c r="G353" i="6"/>
  <c r="F353" i="6"/>
  <c r="G352" i="6"/>
  <c r="F352" i="6"/>
  <c r="G351" i="6"/>
  <c r="F351" i="6"/>
  <c r="G350" i="6"/>
  <c r="F350" i="6"/>
  <c r="G349" i="6"/>
  <c r="F349" i="6"/>
  <c r="G348" i="6"/>
  <c r="F348" i="6"/>
  <c r="G347" i="6"/>
  <c r="F347" i="6"/>
  <c r="G346" i="6"/>
  <c r="F346" i="6"/>
  <c r="G345" i="6"/>
  <c r="F345" i="6"/>
  <c r="G344" i="6"/>
  <c r="F344" i="6"/>
  <c r="G343" i="6"/>
  <c r="F343" i="6"/>
  <c r="G342" i="6"/>
  <c r="F342" i="6"/>
  <c r="G341" i="6"/>
  <c r="F341" i="6"/>
  <c r="G340" i="6"/>
  <c r="F340" i="6"/>
  <c r="G339" i="6"/>
  <c r="F339" i="6"/>
  <c r="G338" i="6"/>
  <c r="F338" i="6"/>
  <c r="G337" i="6"/>
  <c r="F337" i="6"/>
  <c r="G336" i="6"/>
  <c r="F336" i="6"/>
  <c r="G335" i="6"/>
  <c r="F335" i="6"/>
  <c r="G334" i="6"/>
  <c r="F334" i="6"/>
  <c r="G333" i="6"/>
  <c r="F333" i="6"/>
  <c r="G332" i="6"/>
  <c r="F332" i="6"/>
  <c r="G331" i="6"/>
  <c r="F331" i="6"/>
  <c r="G330" i="6"/>
  <c r="F330" i="6"/>
  <c r="G329" i="6"/>
  <c r="F329" i="6"/>
  <c r="G328" i="6"/>
  <c r="F328" i="6"/>
  <c r="G327" i="6"/>
  <c r="F327" i="6"/>
  <c r="G326" i="6"/>
  <c r="F326" i="6"/>
  <c r="G325" i="6"/>
  <c r="F325" i="6"/>
  <c r="G324" i="6"/>
  <c r="F324" i="6"/>
  <c r="G323" i="6"/>
  <c r="F323" i="6"/>
  <c r="G322" i="6"/>
  <c r="F322" i="6"/>
  <c r="G321" i="6"/>
  <c r="F321" i="6"/>
  <c r="G320" i="6"/>
  <c r="F320" i="6"/>
  <c r="G319" i="6"/>
  <c r="F319" i="6"/>
  <c r="G318" i="6"/>
  <c r="F318" i="6"/>
  <c r="G317" i="6"/>
  <c r="F317" i="6"/>
  <c r="G316" i="6"/>
  <c r="F316" i="6"/>
  <c r="G315" i="6"/>
  <c r="F315" i="6"/>
  <c r="G314" i="6"/>
  <c r="F314" i="6"/>
  <c r="G313" i="6"/>
  <c r="F313" i="6"/>
  <c r="G312" i="6"/>
  <c r="F312" i="6"/>
  <c r="G311" i="6"/>
  <c r="F311" i="6"/>
  <c r="G310" i="6"/>
  <c r="F310" i="6"/>
  <c r="G309" i="6"/>
  <c r="F309" i="6"/>
  <c r="G308" i="6"/>
  <c r="F308" i="6"/>
  <c r="G307" i="6"/>
  <c r="F307" i="6"/>
  <c r="G306" i="6"/>
  <c r="F306" i="6"/>
  <c r="G305" i="6"/>
  <c r="F305" i="6"/>
  <c r="G304" i="6"/>
  <c r="F304" i="6"/>
  <c r="G303" i="6"/>
  <c r="F303" i="6"/>
  <c r="G302" i="6"/>
  <c r="F302" i="6"/>
  <c r="G301" i="6"/>
  <c r="F301" i="6"/>
  <c r="G300" i="6"/>
  <c r="F300" i="6"/>
  <c r="G299" i="6"/>
  <c r="F299" i="6"/>
  <c r="G298" i="6"/>
  <c r="F298" i="6"/>
  <c r="G297" i="6"/>
  <c r="F297" i="6"/>
  <c r="G296" i="6"/>
  <c r="F296" i="6"/>
  <c r="G295" i="6"/>
  <c r="F295" i="6"/>
  <c r="G294" i="6"/>
  <c r="F294" i="6"/>
  <c r="G293" i="6"/>
  <c r="F293" i="6"/>
  <c r="G292" i="6"/>
  <c r="F292" i="6"/>
  <c r="G291" i="6"/>
  <c r="F291" i="6"/>
  <c r="G290" i="6"/>
  <c r="F290" i="6"/>
  <c r="G289" i="6"/>
  <c r="F289" i="6"/>
  <c r="G288" i="6"/>
  <c r="F288" i="6"/>
  <c r="G287" i="6"/>
  <c r="F287" i="6"/>
  <c r="G286" i="6"/>
  <c r="F286" i="6"/>
  <c r="G285" i="6"/>
  <c r="F285" i="6"/>
  <c r="G284" i="6"/>
  <c r="F284" i="6"/>
  <c r="G283" i="6"/>
  <c r="F283" i="6"/>
  <c r="G282" i="6"/>
  <c r="F282" i="6"/>
  <c r="G281" i="6"/>
  <c r="F281" i="6"/>
  <c r="G280" i="6"/>
  <c r="F280" i="6"/>
  <c r="G279" i="6"/>
  <c r="F279" i="6"/>
  <c r="G278" i="6"/>
  <c r="F278" i="6"/>
  <c r="G277" i="6"/>
  <c r="F277" i="6"/>
  <c r="G276" i="6"/>
  <c r="F276" i="6"/>
  <c r="F139" i="6" l="1"/>
  <c r="F138" i="6"/>
  <c r="G131" i="6"/>
  <c r="F130" i="6"/>
  <c r="G129" i="6"/>
  <c r="G128" i="6"/>
  <c r="F128" i="6"/>
  <c r="G126" i="6"/>
  <c r="F126" i="6"/>
  <c r="G125" i="6"/>
  <c r="F125" i="6"/>
  <c r="G123" i="6" l="1"/>
  <c r="F123" i="6"/>
  <c r="F121" i="6"/>
  <c r="G120" i="6"/>
  <c r="F120" i="6"/>
  <c r="G119" i="6"/>
  <c r="F119" i="6"/>
  <c r="G118" i="6"/>
  <c r="F118" i="6"/>
  <c r="F116" i="6"/>
  <c r="G115" i="6"/>
  <c r="F115" i="6"/>
  <c r="G114" i="6"/>
  <c r="G113" i="6"/>
  <c r="F106" i="6"/>
  <c r="G103" i="6"/>
  <c r="F103" i="6"/>
  <c r="G102" i="6"/>
  <c r="F102" i="6"/>
  <c r="F97" i="6"/>
  <c r="G96" i="6"/>
  <c r="G94" i="6"/>
  <c r="F94" i="6"/>
  <c r="F92" i="6"/>
  <c r="G90" i="6"/>
  <c r="F90" i="6"/>
  <c r="F86" i="6"/>
  <c r="G85" i="6"/>
  <c r="F85" i="6"/>
  <c r="F83" i="6"/>
  <c r="F84" i="6"/>
  <c r="G82" i="6"/>
  <c r="F82" i="6"/>
  <c r="F81" i="6"/>
  <c r="G80" i="6"/>
  <c r="F80" i="6"/>
  <c r="F79" i="6"/>
  <c r="G78" i="6"/>
  <c r="F78" i="6"/>
  <c r="G68" i="6"/>
  <c r="F68" i="6"/>
  <c r="F489" i="6" l="1"/>
  <c r="G488" i="6"/>
  <c r="F488" i="6"/>
  <c r="F476" i="6"/>
  <c r="G476" i="6"/>
  <c r="G451" i="6"/>
  <c r="G66" i="6"/>
  <c r="F66" i="6"/>
  <c r="F64" i="6"/>
  <c r="G64" i="6"/>
  <c r="F60" i="6"/>
  <c r="G59" i="6"/>
  <c r="F59" i="6"/>
  <c r="G58" i="6"/>
  <c r="F58" i="6"/>
  <c r="G57" i="6"/>
  <c r="F57" i="6"/>
  <c r="G56" i="6"/>
  <c r="F56" i="6"/>
  <c r="G55" i="6"/>
  <c r="F55" i="6"/>
  <c r="G54" i="6"/>
  <c r="F54" i="6"/>
  <c r="G53" i="6"/>
  <c r="F53" i="6"/>
  <c r="G52" i="6"/>
  <c r="F52" i="6"/>
  <c r="G49" i="6" l="1"/>
  <c r="F49" i="6"/>
  <c r="G47" i="6"/>
  <c r="F47" i="6"/>
  <c r="G518" i="6"/>
  <c r="F518" i="6"/>
  <c r="G517" i="6"/>
  <c r="F517" i="6"/>
  <c r="G516" i="6"/>
  <c r="F516" i="6"/>
  <c r="G515" i="6"/>
  <c r="F515" i="6"/>
  <c r="G514" i="6"/>
  <c r="F514" i="6"/>
  <c r="G513" i="6"/>
  <c r="F513" i="6"/>
  <c r="G512" i="6"/>
  <c r="F512" i="6"/>
  <c r="G511" i="6"/>
  <c r="F511" i="6"/>
  <c r="G510" i="6"/>
  <c r="F510" i="6"/>
  <c r="G509" i="6"/>
  <c r="F509" i="6"/>
  <c r="G508" i="6"/>
  <c r="F508" i="6"/>
  <c r="G507" i="6"/>
  <c r="F507" i="6"/>
  <c r="G506" i="6"/>
  <c r="F506" i="6"/>
  <c r="G505" i="6"/>
  <c r="F505" i="6"/>
  <c r="G504" i="6"/>
  <c r="F504" i="6"/>
  <c r="G502" i="6"/>
  <c r="G501" i="6"/>
  <c r="F501" i="6"/>
  <c r="G500" i="6"/>
  <c r="F500" i="6"/>
  <c r="G499" i="6"/>
  <c r="F499" i="6"/>
  <c r="G498" i="6"/>
  <c r="F498" i="6"/>
  <c r="G497" i="6"/>
  <c r="F497" i="6"/>
  <c r="G496" i="6"/>
  <c r="F496" i="6"/>
  <c r="G495" i="6"/>
  <c r="G494" i="6"/>
  <c r="F494" i="6"/>
  <c r="G493" i="6"/>
  <c r="F493" i="6"/>
  <c r="G492" i="6"/>
  <c r="F492" i="6"/>
  <c r="G487" i="6"/>
  <c r="F487" i="6"/>
  <c r="G486" i="6"/>
  <c r="F486" i="6"/>
  <c r="G485" i="6"/>
  <c r="F485" i="6"/>
  <c r="G484" i="6"/>
  <c r="F484" i="6"/>
  <c r="G483" i="6"/>
  <c r="G482" i="6"/>
  <c r="F482" i="6"/>
  <c r="G481" i="6"/>
  <c r="F481" i="6"/>
  <c r="G480" i="6"/>
  <c r="G479" i="6"/>
  <c r="F479" i="6"/>
  <c r="G478" i="6"/>
  <c r="F478" i="6"/>
  <c r="G477" i="6"/>
  <c r="F477" i="6"/>
  <c r="G475" i="6"/>
  <c r="G474" i="6"/>
  <c r="F474" i="6"/>
  <c r="G473" i="6"/>
  <c r="F473" i="6"/>
  <c r="G472" i="6"/>
  <c r="F472" i="6"/>
  <c r="G471" i="6"/>
  <c r="F471" i="6"/>
  <c r="G470" i="6"/>
  <c r="F470" i="6"/>
  <c r="G469" i="6"/>
  <c r="F469" i="6"/>
  <c r="G468" i="6"/>
  <c r="F468" i="6"/>
  <c r="G467" i="6"/>
  <c r="F467" i="6"/>
  <c r="G466" i="6"/>
  <c r="F466" i="6"/>
  <c r="G465" i="6"/>
  <c r="F465" i="6"/>
  <c r="G464" i="6"/>
  <c r="F464" i="6"/>
  <c r="G462" i="6"/>
  <c r="F462" i="6"/>
  <c r="G461" i="6"/>
  <c r="F461" i="6"/>
  <c r="G460" i="6"/>
  <c r="G459" i="6"/>
  <c r="F459" i="6"/>
  <c r="G458" i="6"/>
  <c r="F458" i="6"/>
  <c r="G457" i="6"/>
  <c r="F457" i="6"/>
  <c r="G456" i="6"/>
  <c r="F456" i="6"/>
  <c r="G455" i="6"/>
  <c r="F455" i="6"/>
  <c r="G454" i="6"/>
  <c r="F454" i="6"/>
  <c r="G453" i="6"/>
  <c r="F453" i="6"/>
  <c r="G452" i="6"/>
  <c r="F452" i="6"/>
  <c r="G450" i="6"/>
  <c r="F450" i="6"/>
  <c r="G449" i="6"/>
  <c r="F449" i="6"/>
  <c r="G448" i="6"/>
  <c r="F448" i="6"/>
  <c r="G447" i="6"/>
  <c r="F447" i="6"/>
  <c r="G446" i="6"/>
  <c r="F446" i="6"/>
  <c r="G445" i="6"/>
  <c r="F445" i="6"/>
  <c r="G444" i="6"/>
  <c r="F444" i="6"/>
  <c r="G443" i="6"/>
  <c r="F443" i="6"/>
  <c r="G442" i="6"/>
  <c r="F442" i="6"/>
  <c r="G441" i="6"/>
  <c r="F441" i="6"/>
  <c r="G440" i="6"/>
  <c r="F440" i="6"/>
  <c r="G439" i="6"/>
  <c r="G438" i="6"/>
  <c r="F438" i="6"/>
  <c r="G437" i="6"/>
  <c r="F437" i="6"/>
  <c r="G436" i="6"/>
  <c r="F436" i="6"/>
  <c r="G435" i="6"/>
  <c r="F435" i="6"/>
  <c r="G434" i="6"/>
  <c r="F434" i="6"/>
  <c r="G433" i="6"/>
  <c r="F433" i="6"/>
  <c r="G432" i="6"/>
  <c r="F432" i="6"/>
  <c r="G431" i="6"/>
  <c r="F431" i="6"/>
  <c r="G430" i="6"/>
  <c r="F430" i="6"/>
  <c r="G429" i="6"/>
  <c r="F429" i="6"/>
  <c r="G44" i="6" l="1"/>
  <c r="F44" i="6"/>
  <c r="G43" i="6"/>
  <c r="F43" i="6"/>
  <c r="G42" i="6"/>
  <c r="F42" i="6"/>
  <c r="G39" i="6"/>
  <c r="F39" i="6"/>
  <c r="G38" i="6"/>
  <c r="F38" i="6"/>
  <c r="G37" i="6"/>
  <c r="G36" i="6"/>
  <c r="F36" i="6"/>
  <c r="F32" i="6"/>
  <c r="G31" i="6"/>
  <c r="F31" i="6"/>
  <c r="G29" i="6"/>
  <c r="F29" i="6"/>
  <c r="F28" i="6"/>
  <c r="F23" i="6"/>
  <c r="G22" i="6"/>
  <c r="F22" i="6"/>
  <c r="F21" i="6"/>
  <c r="G20" i="6"/>
  <c r="F19" i="6"/>
  <c r="G18" i="6"/>
  <c r="F18" i="6"/>
  <c r="G17" i="6"/>
  <c r="F17" i="6"/>
  <c r="G15" i="6"/>
  <c r="G13" i="6"/>
  <c r="F13" i="6"/>
  <c r="G12" i="6"/>
  <c r="F12" i="6"/>
  <c r="G8" i="6"/>
  <c r="F8" i="6"/>
  <c r="G7" i="6"/>
  <c r="F7" i="6"/>
</calcChain>
</file>

<file path=xl/sharedStrings.xml><?xml version="1.0" encoding="utf-8"?>
<sst xmlns="http://schemas.openxmlformats.org/spreadsheetml/2006/main" count="3623" uniqueCount="402">
  <si>
    <t>County</t>
  </si>
  <si>
    <t>El Dorado</t>
  </si>
  <si>
    <t>Placer</t>
  </si>
  <si>
    <t>Sacramento</t>
  </si>
  <si>
    <t>Sutter</t>
  </si>
  <si>
    <t>Yolo</t>
  </si>
  <si>
    <t>FIPS</t>
  </si>
  <si>
    <t xml:space="preserve">CT (short) </t>
  </si>
  <si>
    <t>Nearby City</t>
  </si>
  <si>
    <t>Pilot Hill</t>
  </si>
  <si>
    <t>Georgetown</t>
  </si>
  <si>
    <t>Eldorado NTL Forest</t>
  </si>
  <si>
    <t>El Dorado Hills</t>
  </si>
  <si>
    <t>Shingle Springs</t>
  </si>
  <si>
    <t>Rescue</t>
  </si>
  <si>
    <t>Placerville</t>
  </si>
  <si>
    <t>Camino</t>
  </si>
  <si>
    <t>Pollock Pines</t>
  </si>
  <si>
    <t>Somerset</t>
  </si>
  <si>
    <t>Kyburz</t>
  </si>
  <si>
    <t>NA</t>
  </si>
  <si>
    <t>No</t>
  </si>
  <si>
    <t>Foresthill</t>
  </si>
  <si>
    <t>Auburn</t>
  </si>
  <si>
    <t>Newcastle</t>
  </si>
  <si>
    <t>Granite Bay</t>
  </si>
  <si>
    <t>Loomis</t>
  </si>
  <si>
    <t>Roseville</t>
  </si>
  <si>
    <t>Rocklin</t>
  </si>
  <si>
    <t>Penryn</t>
  </si>
  <si>
    <t>Lincoln</t>
  </si>
  <si>
    <t>Applegate</t>
  </si>
  <si>
    <t>Meadow Vista</t>
  </si>
  <si>
    <t>Colfax</t>
  </si>
  <si>
    <t>Truckee</t>
  </si>
  <si>
    <t>Alta</t>
  </si>
  <si>
    <t>Norden</t>
  </si>
  <si>
    <t>Carmichael</t>
  </si>
  <si>
    <t>Rio Linda</t>
  </si>
  <si>
    <t>Elverta</t>
  </si>
  <si>
    <t>McClellan</t>
  </si>
  <si>
    <t>North Highlands</t>
  </si>
  <si>
    <t>Antelope</t>
  </si>
  <si>
    <t>Fair Oaks</t>
  </si>
  <si>
    <t>Citrus Heights</t>
  </si>
  <si>
    <t>Orangevale</t>
  </si>
  <si>
    <t>Folsom</t>
  </si>
  <si>
    <t>Sloughhouse</t>
  </si>
  <si>
    <t>Rancho Cordova</t>
  </si>
  <si>
    <t>Mather</t>
  </si>
  <si>
    <t>Elk Grove</t>
  </si>
  <si>
    <t>Wilton</t>
  </si>
  <si>
    <t>Herald</t>
  </si>
  <si>
    <t>Galt</t>
  </si>
  <si>
    <t>Isleton</t>
  </si>
  <si>
    <t>Walnut Grove</t>
  </si>
  <si>
    <t>Yuba City</t>
  </si>
  <si>
    <t>Live Oak</t>
  </si>
  <si>
    <t>Meridian</t>
  </si>
  <si>
    <t>Nicolaus</t>
  </si>
  <si>
    <t>West Sacramento</t>
  </si>
  <si>
    <t>Dixon</t>
  </si>
  <si>
    <t>Davis</t>
  </si>
  <si>
    <t>Woodland</t>
  </si>
  <si>
    <t>Winters</t>
  </si>
  <si>
    <t>Zamora</t>
  </si>
  <si>
    <t>Dunnigan</t>
  </si>
  <si>
    <t>Solano</t>
  </si>
  <si>
    <t>Travis AFB</t>
  </si>
  <si>
    <t>Vacaville</t>
  </si>
  <si>
    <t>Rio Vista</t>
  </si>
  <si>
    <t>Service</t>
  </si>
  <si>
    <t>Commuter</t>
  </si>
  <si>
    <t>SAC</t>
  </si>
  <si>
    <t>YOL</t>
  </si>
  <si>
    <t>PLA</t>
  </si>
  <si>
    <t>ED</t>
  </si>
  <si>
    <t>SOL</t>
  </si>
  <si>
    <t>Post Mile</t>
  </si>
  <si>
    <t>Yes</t>
  </si>
  <si>
    <t>Livery</t>
  </si>
  <si>
    <t>H2</t>
  </si>
  <si>
    <t>DCFC</t>
  </si>
  <si>
    <t>yes</t>
  </si>
  <si>
    <t>Highway</t>
  </si>
  <si>
    <t>Cameron Park</t>
  </si>
  <si>
    <t>Cold Springs</t>
  </si>
  <si>
    <t>Elk Grove, Roseville, Folsom</t>
  </si>
  <si>
    <t>30%: SE to Woodland</t>
  </si>
  <si>
    <t>Census Tract</t>
  </si>
  <si>
    <t>Low Income/DAC</t>
  </si>
  <si>
    <t>Fairfield/Vacaville Amtrak Station</t>
  </si>
  <si>
    <t>80/80</t>
  </si>
  <si>
    <t>YUBA</t>
  </si>
  <si>
    <t>SUT</t>
  </si>
  <si>
    <t>Sutter Pointe Specific Plan https://www.suttercounty.org/doc/government/depts/ds/ps/cs_sutterpointe</t>
  </si>
  <si>
    <t>Placer Vineyard Specifc Plan https://www.placer.ca.gov/3601/Plans</t>
  </si>
  <si>
    <t>West Jackson Highway Master Plan https://planning.saccounty.net/PlansandProjectsIn-Progress/Documents/Growth%20Area%20Plans/West%20Jackson/Revised%20Project%20Land%20Use%20Plan%20April%202017.pdf</t>
  </si>
  <si>
    <t>South and Northeast</t>
  </si>
  <si>
    <t>Sacramento, Davis, Rancho Cordova, Elk Grove</t>
  </si>
  <si>
    <t>Southwest</t>
  </si>
  <si>
    <t>South, Southwest</t>
  </si>
  <si>
    <t>Sacramento, Davis, Elk Grove</t>
  </si>
  <si>
    <t>South</t>
  </si>
  <si>
    <t>Roseville, Lincoln, Citrus Heights</t>
  </si>
  <si>
    <t>Northeast to Reno</t>
  </si>
  <si>
    <t>South and Southwest</t>
  </si>
  <si>
    <t>Northwest</t>
  </si>
  <si>
    <t>Northeast</t>
  </si>
  <si>
    <t>Sutter County, Stockton, Roseville</t>
  </si>
  <si>
    <t>Northeast, East</t>
  </si>
  <si>
    <t>Galt, Rancho Cordova, Folsom, Rocklin</t>
  </si>
  <si>
    <t>All directrions</t>
  </si>
  <si>
    <t>Northeast, South</t>
  </si>
  <si>
    <t>Northeast, Southeast</t>
  </si>
  <si>
    <t>South, Northeast</t>
  </si>
  <si>
    <t>Northeast, West</t>
  </si>
  <si>
    <t>Southeast</t>
  </si>
  <si>
    <t>North, West, Southwest</t>
  </si>
  <si>
    <t>Downtown Sacramento, Elk Grove, Pocket area, Galt</t>
  </si>
  <si>
    <t>Arden. Elk Grove, Natomas, Vacaville</t>
  </si>
  <si>
    <t>Woodland, Davis, Elk Grove, Stockton</t>
  </si>
  <si>
    <t>Vacaville, Stockton, Galt, Woodland, El Dorado Hills, Lincoln</t>
  </si>
  <si>
    <t>Galt, Stockton, Rockling, Lincoln</t>
  </si>
  <si>
    <t>All directions</t>
  </si>
  <si>
    <t>Stockton, Lodi, Roseville, Vacaville, Woodland</t>
  </si>
  <si>
    <t>South, North</t>
  </si>
  <si>
    <t>Davis, Vacaville, Folsom</t>
  </si>
  <si>
    <t>West, North</t>
  </si>
  <si>
    <t>Southeast, North</t>
  </si>
  <si>
    <t>Lincoln, Roseville, Chico</t>
  </si>
  <si>
    <t>Southeast, Northeast</t>
  </si>
  <si>
    <t>Stockton, Lodi. Rocklin</t>
  </si>
  <si>
    <t>Stockton, Elk Grove, Vacaville</t>
  </si>
  <si>
    <t>Southeast, East</t>
  </si>
  <si>
    <t>Yolo Transit Antelope, North Highlands, Galt</t>
  </si>
  <si>
    <t>East</t>
  </si>
  <si>
    <t>East, South, Northeast</t>
  </si>
  <si>
    <t>Vallejo, Davis, Elk Grove</t>
  </si>
  <si>
    <t>Napa, Woodland, Davis</t>
  </si>
  <si>
    <t>Davis, Woodland, North Highlands</t>
  </si>
  <si>
    <t>East, Northeast</t>
  </si>
  <si>
    <t>Northwest, Southeast, Northeast</t>
  </si>
  <si>
    <t>West</t>
  </si>
  <si>
    <t>Arden, Rancho Cordova, Antelope</t>
  </si>
  <si>
    <t>West, East</t>
  </si>
  <si>
    <t>Pollock Pines, Cameron Park, Folsom</t>
  </si>
  <si>
    <t>Carmichael, Antelope</t>
  </si>
  <si>
    <t>Vacaville, Davis, Sacramento, Elk Grove</t>
  </si>
  <si>
    <t>Sacramento, Davis, Vacaville</t>
  </si>
  <si>
    <t>Davis, Vacaville, Elk Grove</t>
  </si>
  <si>
    <t>Rocklin, Roseville, Lincoln</t>
  </si>
  <si>
    <t>Truckee/Reno, North Lake Tahoe</t>
  </si>
  <si>
    <t>Folsom, El Dorado Hills,  Natomas, West Sacramento, Davis</t>
  </si>
  <si>
    <t>Stockton, Galt, Lincoln, Rocklin, Rancho Murieta</t>
  </si>
  <si>
    <t>Wilton, Ione, Galt, Lincoln, Rocklin</t>
  </si>
  <si>
    <t>Stockton, Galt, Vacaville, Lincoln, Rocklin</t>
  </si>
  <si>
    <t>Vacaville, Lincoln, Galt</t>
  </si>
  <si>
    <t>Lincoln, Stockton, Vacaville</t>
  </si>
  <si>
    <t>Southwest, South, Northeast</t>
  </si>
  <si>
    <t>Rancho Murieta, Rancho Cordova, Elk Grove</t>
  </si>
  <si>
    <t>Galt, Lodi, Stockton, Rancho Murita</t>
  </si>
  <si>
    <t>Vacaville, Fairfield</t>
  </si>
  <si>
    <t>Galt, El Dorado Hills, Lincoln</t>
  </si>
  <si>
    <t>Primary direction from work tract to home tract</t>
  </si>
  <si>
    <t>Olivehurst/Marysville,North Highlands</t>
  </si>
  <si>
    <t>Highway Commercial Zone on the South/Southeast commuter route. Several existing and undeveloped locations that may host hydrogen and/or DCFC plazas. Land on east side of I5 is within the County of Sacramento; west side is within the City of Elk Grove.</t>
  </si>
  <si>
    <t>Highway Commercial Zone on a South/Southeast commuter route. Several existing and undeveloped locations that may host hydrogen and/or DCFC plazas. Land on east side of I5 is within the County of Sacramento; west side is within the City of Elk Grove.</t>
  </si>
  <si>
    <t>Commercial Zone near a South/Southeast commuter route.Area is under development and could provide a base load of service or fleet vehicles by 2025-2030. Some land in the Cit of Sacramento, some in the County of Sacramento.</t>
  </si>
  <si>
    <t>Commercial Zone on a South/Southeast commuter route. Existing  locations that may host hydrogen and/or DCFC plazas. 2,740 service-related jobs within nearby census tracts that could provide a base load for work vehicles.</t>
  </si>
  <si>
    <t xml:space="preserve">Commercial and Industrial Zone in City of Woodland on the North commuter route. Existing  locations that may host hydrogen and/or DCFC plazas. 4,000 industry related jobs and 2,000  service-related jobs within nearby census tracts that could provide a base load for light- and heavy-duty vehicles. Yolo County Transportation District bus yard within one mile. On the main route to Cache Creek Casino and may serve livery drivers and shuttles. </t>
  </si>
  <si>
    <t xml:space="preserve">Commercial  Zone in the City of Auburn on the East/Northeast commuter route. Existing  locations that may host a DCFC plaza. 1,300 industry- and service-related jobs within nearby census tracts that could provide a base load for light- and heavy-duty vehicles. </t>
  </si>
  <si>
    <t>Commercial  Zone in the City of Folsom on the East/Northeast commuter route. Existing  locations that may host a hydrogen station. Largely offices and very limited services or retail. 13,000 industry- and service-related jobs within nearby census tracts that could provide a base load for light- and heavy-duty vehicles. Potential to serve livery vehicles, including vanpools.</t>
  </si>
  <si>
    <t>Commercial  Zone in the County of El Dorado on the East/Northeast commuter route. Existing  locations that may host a hydrogen station and/or DCFC plaza. Limited services and retail while charging. A current fueling location for shuttle buses and delivery vehicles. Could be a key location for public and private transit.</t>
  </si>
  <si>
    <t>Industrial Zone in the City of Rocklin with many transportation and warehousing businesses. Existing locations that may host a hydrogen station with room for truck and bus fueling. On the route to Thunder Valley Casino and several commercials recreation businesses. Could service livery drivers. No services or retail.</t>
  </si>
  <si>
    <t>Future location for a hydrogen station and/or DCFC charging plaza in the County of Solano. This is an undeveloped area adjacent to park and ride lots for Amtrak and Solono Transit. On the main road to Travis AFB and could serve as a location for commuters and vehicles doing business with the base.</t>
  </si>
  <si>
    <t>505/80</t>
  </si>
  <si>
    <t>Industrial Zone in the City of Vacaville with many transportation and warehousing businesses. Existing locations that may host a hydrogen station with room for truck and bus fueling. More than 7,000 industrial- and service-related jobs in nearby census tracts. Could also serve commuters between Winters and Vacaville. No services or retail within walking distance.</t>
  </si>
  <si>
    <t>Commercial Zone in the City of Vacaville on the East/West commute route. Existing locations that may host a hydrogen station and/or DCFC charging plaza. Adjacent to two park and ride lots. Solano County offers free Lyft rides for transit riders. Services and retail within walking distance.</t>
  </si>
  <si>
    <t>Commercial Zone in the City of Davis on the East/West commute route. Several existing locations that may host a hydrogen station and/or DCFC charging plaza, and some undeveloped land. Adjacent to a park and ride lot. About 2,000 industry- and service-related jobs in nearby census tracts. Could serve as a location for livery drivers between Dixon/Davis and the Sacramento and Bay Area airports. Also near rental car lots.</t>
  </si>
  <si>
    <t>5 and 80</t>
  </si>
  <si>
    <t>Commercial Zone on multiple commute routes. Existing locations that may host a hydrogen station and/or DCFC charging plaza, and undeveloped land.  About 9,000 industry- and service-related jobs in nearby census tracts. Could serve as a location for livery drivers serving the Sacramento airport. Surface roads can be conjested, which impacts ease of getting off and on the freeway. Most land in the City of Sacramento; some in the County.</t>
  </si>
  <si>
    <t>Commercial Zone in Sacramento County on a surface-street commute route. Existing locations and underdeveloped land that may host a hydrogen station and/or DCFC charging plaza with room for delivery vehicles. This area is likely to grow as development in Rio Linda, Elverta, and Roseville continues.</t>
  </si>
  <si>
    <t>Commercial Zone in the City of Roseville on a surface-street commute route. Existing location that may host a hydrogen station and/or DCFC charging plaza with room for delivery vehicles. About 3,000 industry- and service-related jobs in nearby census tracts. Near taxi/airport shuttle dispatching office. Few services and retail within walking distance.</t>
  </si>
  <si>
    <t>Commercial Zone in the County of Placer on a primary commuter route. Existing location directly adjacent to a park and ride lot that can host a hydrogen station and/or DCFC plaza. Undeveloped land in the immediately area. The current location provides conventional fuel for shuttle buses. Limited services and retail, but a fitness club is within walking distance.</t>
  </si>
  <si>
    <t>Commercial Zone in the County of Placer on a primary commuter route. Existing location mat host a hydrogen station and/or DCFC plaza. Adjacent to a park and ride lot and CHP base. Undeveloped land in the immediately area. The current location provides conventional fuel for shuttle buses. Could serve fleet vehicles and delivery between Sacramento and Reno. Limited services and retail.</t>
  </si>
  <si>
    <t>Industrial zone in the County of Sacramento on the North/South commute corridor. Existing commercial fueling facility may host a hydrogen station that could serve fleets and trucks as well as commuters. Less than 900 industry- and service-related jobs. Could serve delivery vehicles between Sacramento and Stockton. No services or retail within walking distance.</t>
  </si>
  <si>
    <t xml:space="preserve">Highway Commercial Zone in the County of Sacramento on the North/South commute corridor. Existing locations may host a hydrogen station and/or DCFC plaza, and undeveloped land for future stations. Many existing services and retail within walking distance. Conjested on ramp/off ramp makes location more challenging for fleets and delivery vehicles.  </t>
  </si>
  <si>
    <t>Commercial/Industrial Zone in the City of West Sacramento on the East/West commute corridor. Existing locations and underdeveloped land that may host a hydrogen station or DCFC plaza with room for buses and trucks. About 13,000 industry- and service-related jobs in the nearby census tracts and near the intersection of three freeways. Adjacent to two park and ride lots.</t>
  </si>
  <si>
    <t>Commercial/Industrial Zone in the City of Yuba City on the primary commute corridor. Existing locations and undeveloped land that may host a hydrogen station or DCFC plaza. Existing station serves cars, trucks, and buses. About 3,500 industry- and service-related jobs in the nearby census tracts. No services or retail within walking distance.</t>
  </si>
  <si>
    <t>Commercial/Industrial Zone in the City of Yuba City on the primary commute corridor. Existing locations and underdeveloped land that may host a hydrogen station or DCFC plaza. In a central business/residential district. About 4,500 industry- and service-related jobs in the nearby census tracts.  Some services and retail within walking distance. On route to Feather Falls Casino and could serve livery services and shuttle buses.</t>
  </si>
  <si>
    <t>Commercial/Industrial Zone in the City of Winters on North/South corridor between I-5 and I-80. Existing locations and undeveloped land that may host a hydrogen station or DCFC plaza. Current stations provide fuel for cars and trucks. About 1,400 industry- and service-related jobs in the nearby census tracts. Some services and retail within walking distance. On route to tourist destinations around Lake Berryessa.</t>
  </si>
  <si>
    <t>Commercial/Industrial Zone in the City of Vacaville on the North/South corridor between Winters and Vacaville and near I-80. Existing locations and underdeveloped land that may host a hydrogen station or DCFC plaza. Current stations provide fuel for cars and trucks. About 8,000 industry- and service-related jobs in the nearby census tracts. Close to Genetech campus and could serve Genetech shuttles. No services or retail within walking distance.</t>
  </si>
  <si>
    <t>Industrial Zone in the County of Sacramento; not on a commute route. Existing locations and underdeveloped land that may host a hydrogen station or DCFC plaza. Current station provides fuel for cars and trucks. About 16,000 industry- and service-related jobs in the nearby census tracts. Many warehouses, delivery services, and charter transportation services. No services or retail within walking distance.</t>
  </si>
  <si>
    <t>Industrial Zone in the County of Sacramento; not on a commute route. Existing locations and underdeveloped land that may host a hydrogen station or DCFC plaza. Current station is a commercial-only station. Nearly 6,000 industry- and service-related jobs in the nearby census tracts. Many warehouses and delivery services. No services or retail within walking distance.</t>
  </si>
  <si>
    <t>Industrial Zone in the County of Sacramento; not on a commute route. Existing locations and underdeveloped land that may host a hydrogen station or DCFC plaza. Current station is a commercial-only station. Nearly 6,000 industry- and service-related jobs in the nearby census tracts. Many warehouses and delivery services. No services or retail within walking distance. DC fast charging for commuters is available nearby.</t>
  </si>
  <si>
    <t>Commercial Zone in the County of Sacramento between I-80 and Capital City Freeway. Existing locations and undeveloped land that may host a hydrogen station or DCFC plaza. Current station will not accommodate trucks. Nearly 6,000 industry- and service-related jobs in the nearby census tracts. Limited services or retail within walking distance. Two nearby federal office buildings may provide a base fleet of light-duty vehicles.</t>
  </si>
  <si>
    <t>Commercial and Industrial Zone in the City of Sacramento. Well developed with warehouse, wholesale, and manufacturing business; no existing fuel station.  About 11,000 industry- and service-related jobs in the nearby census tracts. Several livery operators in business park could provide a base fleet. No services or retail within walking distance. No space for a hydrogen station.</t>
  </si>
  <si>
    <t>Commercial and Industrial Zone in the County of Sacramento close to North/South commute corridor. Properties could be developed to host a hydrogen station and/or DC fast charging plaza.  About 2,000 industry- and service-related jobs in the nearby census tracts. Two rental car operators could provide a base fleet.</t>
  </si>
  <si>
    <t xml:space="preserve">Commercial, Industrial, and Residential Zone in the County of El Dorado. Primary destination for super commuters traveling to El Dorado County and near Highway 50 and 49. Properties could be developed to host a hydrogen station and/or DC fast charging plaza. About 1,000 industrial- and service related jobs in nearby census tracts and adjacent to multifamily housing. </t>
  </si>
  <si>
    <t>Commercia Zone in the County of El Dorado on the East/West commute route.   One existing location that may host a hydrogen station and/or DC fast charging plaza. Current station provides fuel to cars, trucks, and buses. Location is a gateway to Apple Hill and could serve tourists and tour operators. Very limited services and no retail.</t>
  </si>
  <si>
    <t>Commercial Zone in the City of Roseville on a surface-street commute route. Existing location that may host a hydrogen station and/or DCFC charging plaza with room for delivery vehicles. About 3,000 industry- and service-related jobs in nearby census tracts. Existing truck fueling station near a distribution center could support trucks and buses. DCFC at an existing car wash could support taxies and TNC drivers. Several fitness clubs within walking distance.</t>
  </si>
  <si>
    <t>One of two options being considered for an integrated mobility hub, which could include a ZEV fuel station to support buses and commuter vehicles.</t>
  </si>
  <si>
    <t>Existing fuel station in the County of Yuba that can serve cars and heavy-duty vehicles. Directly on the route to Beale AFB, PG&amp;E, and Toyota Amphiteater, and can support the commute between Roseville and Yuba City, and on to Chico. Recommend a local traffic study to assess potential usage.</t>
  </si>
  <si>
    <t>Undeveloped land in the County of Placer that has a park and ride lot. Directly on the route to Beale AFB, PG&amp;E, and Toyota Amphiteater, and may support the commute between Roseville and Yuba City, and on to Chico. Recommend a local traffic study to assess potential usage.</t>
  </si>
  <si>
    <t>Number of people employed in an industrial-related job</t>
  </si>
  <si>
    <t>Name</t>
  </si>
  <si>
    <t>Lat: 38.409166 N
Long: 121.484756 W</t>
  </si>
  <si>
    <t>38°27'59.2"N 121°29'26.8"W</t>
  </si>
  <si>
    <t>38°29'47.6"N 121°27'01.2"W</t>
  </si>
  <si>
    <t>BOTH</t>
  </si>
  <si>
    <t>H2 Rating</t>
  </si>
  <si>
    <t>DCFC Rating</t>
  </si>
  <si>
    <t>Non</t>
  </si>
  <si>
    <t>Woodland, Main Street</t>
  </si>
  <si>
    <t>Auburn, Grass Valley Hwy</t>
  </si>
  <si>
    <t>Folsom, Iron Point Rd</t>
  </si>
  <si>
    <t>Pollock Pines, Hwy 50</t>
  </si>
  <si>
    <t>Rocklin, Cincinnati Ave</t>
  </si>
  <si>
    <t>Vacaville, Crocker Dr</t>
  </si>
  <si>
    <t>Vacaville, Davis St</t>
  </si>
  <si>
    <t>Davis, Mace Blv/Chiles Road @ I-80</t>
  </si>
  <si>
    <t>Elk Grove, Elk Grove Blvd @ I-5</t>
  </si>
  <si>
    <t>Elk Grove, Laguna Blvd @ I-5</t>
  </si>
  <si>
    <t>Sacramento, Delta Shores @ Cosumnes River Blvd</t>
  </si>
  <si>
    <t>Sacramento, Florin Road @ Hwy 99</t>
  </si>
  <si>
    <t>Sacramento, Arena Blvd. @ I-5</t>
  </si>
  <si>
    <t>38°38'37.3"N 121°31'25.9"W</t>
  </si>
  <si>
    <t>Antelope, Watt Ave</t>
  </si>
  <si>
    <t>Roseville, Vineyard @ Foothills Blvd</t>
  </si>
  <si>
    <t>38°44'39.4"N 121°18'31.6"W</t>
  </si>
  <si>
    <t>Penryn, Boyinton Rd</t>
  </si>
  <si>
    <t>Newcastle, Chantry Hill Rd</t>
  </si>
  <si>
    <t>Galt, Simmerhorn Rd</t>
  </si>
  <si>
    <t>Galt, Twin Cities Rd @ Hwy 99</t>
  </si>
  <si>
    <t>West Sacramento, W. Capitol Ave</t>
  </si>
  <si>
    <t>Yuba City, Bogue Rd</t>
  </si>
  <si>
    <t>Yuba City, Colusa Hwy</t>
  </si>
  <si>
    <t>Winters, Grant Ave</t>
  </si>
  <si>
    <t>Sacramento, Fruitridge Rd</t>
  </si>
  <si>
    <t>Sacramento, Alpine Ave</t>
  </si>
  <si>
    <t>North Highlands, Roseville Rd</t>
  </si>
  <si>
    <t>North Highlands, Watt Ave</t>
  </si>
  <si>
    <t>38°38'52.1"N 121°28'29.5"W</t>
  </si>
  <si>
    <t>Sacramento, North Market @ Northgate Blvd.</t>
  </si>
  <si>
    <t>Sacramento, Franklin &amp; 47th</t>
  </si>
  <si>
    <t>Diamond Springs, Missouri Flat Rd @ Hwy 49</t>
  </si>
  <si>
    <t>Camino, Carson Rd</t>
  </si>
  <si>
    <t>Roseville, Blue Oaks Blvd @ Foothills Blvd</t>
  </si>
  <si>
    <t>El Dorado Hills, White Rock Road @ Latrobe</t>
  </si>
  <si>
    <t>El Dorado Hills. White Rock Road @ Clarksville Crossing</t>
  </si>
  <si>
    <t>38°39'18.6"N 121°03'18.9"W</t>
  </si>
  <si>
    <t>Wheatland, McDevitt Rd</t>
  </si>
  <si>
    <t>38°51'35.9"N 121°18'15.8"W</t>
  </si>
  <si>
    <t>Lincoln, Industrial &amp; Highway 65</t>
  </si>
  <si>
    <t>Sutter Pointe</t>
  </si>
  <si>
    <t>Placer Vineyards</t>
  </si>
  <si>
    <t>West Jackson Highway</t>
  </si>
  <si>
    <t>8800 Baseline Rd, Elverta, CA 95626</t>
  </si>
  <si>
    <t>Number of people who commute 50 miles or more from a job in this tract</t>
  </si>
  <si>
    <t>Criteria</t>
  </si>
  <si>
    <t>Description</t>
  </si>
  <si>
    <t>Scoring format</t>
  </si>
  <si>
    <t>SCORE</t>
  </si>
  <si>
    <t>PASS/FAIL CRITERIA</t>
  </si>
  <si>
    <t>Census tracts with 1, 2, or No in any row are removed from consideration</t>
  </si>
  <si>
    <t>Traffic count</t>
  </si>
  <si>
    <t>Proximity to high-traffic areas</t>
  </si>
  <si>
    <t>1 - No high traffic streets</t>
  </si>
  <si>
    <t>2 - More than 1/2 mile away from high-traffic streets</t>
  </si>
  <si>
    <t>3 - Within 1/2 mile of two high-traffic streets</t>
  </si>
  <si>
    <t>4 - On one high-traffic street and within 1/2 mile of a second high-traffic street</t>
  </si>
  <si>
    <t>5 - At the intersection of two or more high-traffic streets</t>
  </si>
  <si>
    <t>Driver types</t>
  </si>
  <si>
    <t>Meets the driving patterns of driver types: super commuter, livery driver, service worker</t>
  </si>
  <si>
    <t>1 - Mostly local traffic</t>
  </si>
  <si>
    <t>2 - Not near an exit ramp or intersection</t>
  </si>
  <si>
    <t>3 - Less than 1 mile from exit ramp, intersection, or business district</t>
  </si>
  <si>
    <t>4 -Less than 1/2 mile from exit ramp, intersection, or business district</t>
  </si>
  <si>
    <t>5 - At exit ramp, intersection, or business district</t>
  </si>
  <si>
    <t>Space</t>
  </si>
  <si>
    <t>Has or can have space for equipment</t>
  </si>
  <si>
    <t>Y/N</t>
  </si>
  <si>
    <t>Y = Appears to have space to add equipment to existing location or space to build a new station</t>
  </si>
  <si>
    <t>Zoning</t>
  </si>
  <si>
    <t>Zoned correctly</t>
  </si>
  <si>
    <t>Y = Commercial or industrial zoning</t>
  </si>
  <si>
    <t>CENSUS TRACT CRITERIA</t>
  </si>
  <si>
    <t>Disadvantaged community</t>
  </si>
  <si>
    <t>Meets California definition</t>
  </si>
  <si>
    <t>Y = Ranks 80% percentile or greater on CalEnviroScreen</t>
  </si>
  <si>
    <t>Future location</t>
  </si>
  <si>
    <t>Designated for new development</t>
  </si>
  <si>
    <t>Y = Vacant land with commercial/industrial zoning and within regional blueprint</t>
  </si>
  <si>
    <t>Transit</t>
  </si>
  <si>
    <t>Potential to provide fuel to buses</t>
  </si>
  <si>
    <t>Y = Near a public or private transit yard</t>
  </si>
  <si>
    <t>Service workers</t>
  </si>
  <si>
    <t>Number of service industry jobs in tract</t>
  </si>
  <si>
    <t>1 - less than 100</t>
  </si>
  <si>
    <t>2 - 101-400</t>
  </si>
  <si>
    <t>3 -401-700</t>
  </si>
  <si>
    <t>4 -701-1000</t>
  </si>
  <si>
    <t>5 -More than 1001</t>
  </si>
  <si>
    <t>Super commuters</t>
  </si>
  <si>
    <t>Number of people who commute at least 50 miles from tract to home census tract</t>
  </si>
  <si>
    <t>1 - less than 50</t>
  </si>
  <si>
    <t>2 -51 to 100</t>
  </si>
  <si>
    <t>3 -101 to 500</t>
  </si>
  <si>
    <t>4 -501 to 1000</t>
  </si>
  <si>
    <t>Livery use</t>
  </si>
  <si>
    <t>Potential to provide fuel to taxis, TNCs, shuttles, rental cars</t>
  </si>
  <si>
    <t>1 -Rural location</t>
  </si>
  <si>
    <t>2 - Not on typical livery route</t>
  </si>
  <si>
    <t>3 - Along route to destinations</t>
  </si>
  <si>
    <t>4 - Near a dispatch or home base</t>
  </si>
  <si>
    <t>5 - On a main route for cars, vanpools, and shuttles</t>
  </si>
  <si>
    <t>DCFC PLAZA SITING CRITERIA</t>
  </si>
  <si>
    <t>Amenities</t>
  </si>
  <si>
    <t>Food and shopping are close by</t>
  </si>
  <si>
    <t>1 – 5</t>
  </si>
  <si>
    <t>1 – Not available at potential site, nor within a 2-minute walk via safe path</t>
  </si>
  <si>
    <t>2 – Available at potential site, or within a 2-minute walk via safe path during business hours</t>
  </si>
  <si>
    <t>3 – Available at potential site, or within a 2-minute walk via safe path, at least 12 hours/day, 7 days/week</t>
  </si>
  <si>
    <t>4 – Available at potential site, or within a 2-minute walk via safe path, at least 16 hours/day, 7 days/week</t>
  </si>
  <si>
    <t>Activities</t>
  </si>
  <si>
    <t>Medium dwell-time activities are close by (health club, medical office, grocery store, recreation)</t>
  </si>
  <si>
    <t>1 – Not available at site, nor within a 2-minute walk via safe path</t>
  </si>
  <si>
    <t>2 – Available at site, or within a 2-minute safe walk during business hours</t>
  </si>
  <si>
    <t>3 – Available at site, or within a 2-minute safe walk at least 12 hours/day, 7 days/week</t>
  </si>
  <si>
    <t>4 – Available at site, or within a 2-minute safe walk at least 16 hours/day, 7 days/week</t>
  </si>
  <si>
    <t>Availability</t>
  </si>
  <si>
    <t>24/7 access</t>
  </si>
  <si>
    <t>Y = Always open, does not have a gate or require a key; well-lit and visible at night</t>
  </si>
  <si>
    <t>Business use</t>
  </si>
  <si>
    <t>Workers may be productive while charging</t>
  </si>
  <si>
    <t>Y = Near a business center, car wash, or fleet yard</t>
  </si>
  <si>
    <t>Truck/Bus Access</t>
  </si>
  <si>
    <t>Easy to get in and out of location</t>
  </si>
  <si>
    <t>1- Private road</t>
  </si>
  <si>
    <t>2 – Access street prohibits commercial vehicles</t>
  </si>
  <si>
    <t>3 – Access for cars and package vans</t>
  </si>
  <si>
    <t>4 – Access for box trucks</t>
  </si>
  <si>
    <t>5 – Access for heavy-duty trucks and buses</t>
  </si>
  <si>
    <t>H2 SITING CRITERIA</t>
  </si>
  <si>
    <t>Convenience store services are available</t>
  </si>
  <si>
    <t>1 - Not available at potential site</t>
  </si>
  <si>
    <t>2 - Restrooms only</t>
  </si>
  <si>
    <t>3 - Convenience store on site</t>
  </si>
  <si>
    <t>4 - Store on site and other retail/food within driving distance</t>
  </si>
  <si>
    <t>5 - Store on site and other retail/food  within walking distance</t>
  </si>
  <si>
    <t>Can accept fleet fueling</t>
  </si>
  <si>
    <t>Y = At or near existing cardlock station and/or fleet yard</t>
  </si>
  <si>
    <t>2 - Access street prohibits commercial vehicles</t>
  </si>
  <si>
    <t>3 - Access for cars and package vans</t>
  </si>
  <si>
    <t>4 - Access for box trucks</t>
  </si>
  <si>
    <t>5 - Access for heavy-duty trucks and buses</t>
  </si>
  <si>
    <t>1-5</t>
  </si>
  <si>
    <t>5- Available at site, or within a 2-minute safe walk, 24 hours/day, 7 days/week</t>
  </si>
  <si>
    <t>5- Available at potential site, or within a 2-minute walk via safe path, 24 hours/day, 7 days/week</t>
  </si>
  <si>
    <t xml:space="preserve"> ZEV Station Scoring Criteria</t>
  </si>
  <si>
    <t>Physical Location</t>
  </si>
  <si>
    <t>Lat: 38.427536 N
Long: 121.488475 W</t>
  </si>
  <si>
    <t>Score</t>
  </si>
  <si>
    <t xml:space="preserve"> 120 Grass Valley Hwy, </t>
  </si>
  <si>
    <t>4640 Post St</t>
  </si>
  <si>
    <t xml:space="preserve">3600 Carson Rd </t>
  </si>
  <si>
    <t>4680 Missouri Flat Rd</t>
  </si>
  <si>
    <t xml:space="preserve"> 7720 US-50</t>
  </si>
  <si>
    <t>4000 Cincinnati Ave</t>
  </si>
  <si>
    <t xml:space="preserve"> 3142 Boyinton Road</t>
  </si>
  <si>
    <t xml:space="preserve"> 9300 Chantry Hill Road</t>
  </si>
  <si>
    <t>1391 Blue Oaks Blvd</t>
  </si>
  <si>
    <t>191 Iron Point Road</t>
  </si>
  <si>
    <t>7969 Watt Ave</t>
  </si>
  <si>
    <t>955 Simmerhorn Road</t>
  </si>
  <si>
    <t>12821 Stockton Blvd</t>
  </si>
  <si>
    <t>8880 Fruitridge Rd</t>
  </si>
  <si>
    <t>8221 Alpine Ave</t>
  </si>
  <si>
    <t>4200 Roseville Rd</t>
  </si>
  <si>
    <t>4300 Watt Ave</t>
  </si>
  <si>
    <t>6351 Franklin Blvd</t>
  </si>
  <si>
    <t>6326 Turner Rd</t>
  </si>
  <si>
    <t>4921 Vanden Rd</t>
  </si>
  <si>
    <t xml:space="preserve">151 Crocker Dr, </t>
  </si>
  <si>
    <t>541 Davis Street</t>
  </si>
  <si>
    <t>151 Crocker Dr</t>
  </si>
  <si>
    <t>7062 Pacific Ave</t>
  </si>
  <si>
    <t>1332 Bogue Rd</t>
  </si>
  <si>
    <t>1466 Colusa Hwy</t>
  </si>
  <si>
    <t xml:space="preserve"> 2020 E Main St</t>
  </si>
  <si>
    <t>400 Mace Blvd</t>
  </si>
  <si>
    <t>4800 W Capitol Ave</t>
  </si>
  <si>
    <t>999 E Grant Ave</t>
  </si>
  <si>
    <t>500 McDevitt Dr</t>
  </si>
  <si>
    <t>Property Owners Have Not Been Contacted About Interest in Hosting a ZEV Fuel Station</t>
  </si>
  <si>
    <t>Station Type</t>
  </si>
  <si>
    <t>Location</t>
  </si>
  <si>
    <t>Future (after 2025)</t>
  </si>
  <si>
    <t>Note</t>
  </si>
  <si>
    <t>Number of people employed in a service-related job</t>
  </si>
  <si>
    <t>Sacramento Metro AQMD ZEV Readiness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</si>
</sst>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1"/>
      <name val="Calibri"/>
      <family val="2"/>
      <scheme val="minor"/>
    </font>
    <font>
      <sz val="10"/>
      <color theme="1"/>
      <name val="Arial"/>
      <family val="2"/>
    </font>
    <font>
      <sz val="11"/>
      <color rgb="FF000000"/>
      <name val="Calibri"/>
      <family val="2"/>
      <scheme val="minor"/>
    </font>
    <font>
      <b/>
      <sz val="11"/>
      <color rgb="FF000000"/>
      <name val="Calibri"/>
      <family val="2"/>
      <scheme val="minor"/>
    </font>
    <font>
      <b/>
      <sz val="11"/>
      <color rgb="FFFF0000"/>
      <name val="Calibri"/>
      <family val="2"/>
      <scheme val="minor"/>
    </font>
    <font>
      <sz val="16"/>
      <color theme="1"/>
      <name val="Calibri"/>
      <family val="2"/>
      <scheme val="minor"/>
    </font>
  </fonts>
  <fills count="11">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2DCDB"/>
        <bgColor indexed="64"/>
      </patternFill>
    </fill>
    <fill>
      <patternFill patternType="solid">
        <fgColor rgb="FFE4DFEC"/>
        <bgColor indexed="64"/>
      </patternFill>
    </fill>
    <fill>
      <patternFill patternType="solid">
        <fgColor rgb="FFEBF1DE"/>
        <bgColor indexed="64"/>
      </patternFill>
    </fill>
    <fill>
      <patternFill patternType="solid">
        <fgColor rgb="FFFDE9D9"/>
        <bgColor indexed="64"/>
      </patternFill>
    </fill>
    <fill>
      <patternFill patternType="solid">
        <fgColor theme="2"/>
        <bgColor indexed="64"/>
      </patternFill>
    </fill>
    <fill>
      <patternFill patternType="solid">
        <fgColor theme="4" tint="0.59996337778862885"/>
        <bgColor indexed="64"/>
      </patternFill>
    </fill>
  </fills>
  <borders count="22">
    <border>
      <left/>
      <right/>
      <top/>
      <bottom/>
      <diagonal/>
    </border>
    <border>
      <left style="thin">
        <color auto="1"/>
      </left>
      <right style="thin">
        <color auto="1"/>
      </right>
      <top style="thin">
        <color auto="1"/>
      </top>
      <bottom style="thin">
        <color auto="1"/>
      </bottom>
      <diagonal/>
    </border>
    <border>
      <left/>
      <right/>
      <top style="thin">
        <color theme="9" tint="0.39997558519241921"/>
      </top>
      <bottom style="thin">
        <color theme="9" tint="0.3999755851924192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rgb="FF000000"/>
      </right>
      <top style="medium">
        <color indexed="64"/>
      </top>
      <bottom style="medium">
        <color indexed="64"/>
      </bottom>
      <diagonal/>
    </border>
    <border>
      <left/>
      <right/>
      <top/>
      <bottom style="thin">
        <color theme="9" tint="0.3999755851924192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27">
    <xf numFmtId="0" fontId="0" fillId="0" borderId="0" xfId="0"/>
    <xf numFmtId="0" fontId="0" fillId="0" borderId="0" xfId="0" applyAlignment="1">
      <alignment horizontal="center"/>
    </xf>
    <xf numFmtId="0" fontId="0" fillId="0" borderId="0" xfId="0" applyFill="1"/>
    <xf numFmtId="2" fontId="0" fillId="0" borderId="0" xfId="0" applyNumberFormat="1" applyFill="1"/>
    <xf numFmtId="0" fontId="0" fillId="0" borderId="0" xfId="0" applyFill="1" applyAlignment="1">
      <alignment horizontal="left"/>
    </xf>
    <xf numFmtId="0" fontId="0" fillId="0" borderId="0" xfId="0" applyFill="1" applyAlignment="1">
      <alignment horizontal="center"/>
    </xf>
    <xf numFmtId="0" fontId="0" fillId="0" borderId="1" xfId="0" applyBorder="1"/>
    <xf numFmtId="2" fontId="0" fillId="0" borderId="1" xfId="0" applyNumberFormat="1" applyBorder="1" applyAlignment="1">
      <alignment horizontal="center"/>
    </xf>
    <xf numFmtId="2" fontId="0" fillId="0" borderId="1" xfId="0" applyNumberFormat="1" applyBorder="1"/>
    <xf numFmtId="0" fontId="1" fillId="0" borderId="1" xfId="0" applyFont="1" applyBorder="1" applyAlignment="1">
      <alignment wrapText="1"/>
    </xf>
    <xf numFmtId="2" fontId="1" fillId="0" borderId="1" xfId="0" applyNumberFormat="1" applyFont="1" applyBorder="1" applyAlignment="1">
      <alignment horizontal="center" wrapText="1"/>
    </xf>
    <xf numFmtId="2" fontId="1" fillId="0" borderId="1" xfId="0" applyNumberFormat="1" applyFont="1" applyBorder="1" applyAlignment="1">
      <alignment wrapText="1"/>
    </xf>
    <xf numFmtId="0" fontId="2" fillId="0" borderId="1" xfId="0" applyFont="1" applyFill="1" applyBorder="1" applyAlignment="1" applyProtection="1"/>
    <xf numFmtId="0" fontId="0" fillId="0" borderId="1" xfId="0" applyBorder="1" applyAlignment="1">
      <alignment horizontal="center"/>
    </xf>
    <xf numFmtId="0" fontId="0" fillId="0" borderId="0" xfId="0" applyNumberFormat="1" applyFont="1" applyFill="1" applyBorder="1"/>
    <xf numFmtId="0" fontId="0" fillId="0" borderId="0" xfId="0" applyFont="1" applyFill="1" applyBorder="1"/>
    <xf numFmtId="0" fontId="0" fillId="0" borderId="1" xfId="0" applyFill="1" applyBorder="1"/>
    <xf numFmtId="2" fontId="0" fillId="0" borderId="1" xfId="0" applyNumberFormat="1" applyFill="1" applyBorder="1" applyAlignment="1">
      <alignment horizontal="center"/>
    </xf>
    <xf numFmtId="0" fontId="0" fillId="0" borderId="1" xfId="0" applyFill="1" applyBorder="1" applyAlignment="1">
      <alignment horizontal="center"/>
    </xf>
    <xf numFmtId="0" fontId="0" fillId="0" borderId="0" xfId="0" applyFill="1" applyAlignment="1">
      <alignment horizontal="center" vertical="top"/>
    </xf>
    <xf numFmtId="0" fontId="0" fillId="0" borderId="1" xfId="0" applyFill="1" applyBorder="1" applyAlignment="1">
      <alignment horizontal="left" vertical="top"/>
    </xf>
    <xf numFmtId="0" fontId="2" fillId="0" borderId="1" xfId="0" applyFont="1" applyFill="1" applyBorder="1" applyAlignment="1" applyProtection="1">
      <alignment horizontal="left" vertical="top"/>
    </xf>
    <xf numFmtId="0" fontId="0" fillId="0" borderId="1" xfId="0" applyFill="1" applyBorder="1" applyAlignment="1">
      <alignment horizontal="right" vertical="top"/>
    </xf>
    <xf numFmtId="2" fontId="0" fillId="0" borderId="0" xfId="0" applyNumberFormat="1" applyFont="1" applyFill="1" applyBorder="1"/>
    <xf numFmtId="0" fontId="0" fillId="0" borderId="2" xfId="0" applyFont="1" applyFill="1" applyBorder="1"/>
    <xf numFmtId="0" fontId="0" fillId="0" borderId="2" xfId="0" applyNumberFormat="1" applyFont="1" applyFill="1" applyBorder="1"/>
    <xf numFmtId="2" fontId="0" fillId="0" borderId="2" xfId="0" applyNumberFormat="1" applyFont="1" applyFill="1" applyBorder="1"/>
    <xf numFmtId="0" fontId="0" fillId="0" borderId="0" xfId="0" applyNumberFormat="1" applyFont="1" applyFill="1" applyBorder="1" applyAlignment="1">
      <alignment horizontal="center"/>
    </xf>
    <xf numFmtId="0" fontId="0" fillId="0" borderId="0" xfId="0" applyFill="1" applyAlignment="1">
      <alignment wrapText="1"/>
    </xf>
    <xf numFmtId="0" fontId="0" fillId="0" borderId="0" xfId="0" applyFont="1"/>
    <xf numFmtId="0" fontId="4" fillId="0" borderId="6" xfId="0" applyFont="1" applyBorder="1" applyAlignment="1">
      <alignment horizontal="center" vertical="center"/>
    </xf>
    <xf numFmtId="0" fontId="4" fillId="0" borderId="6" xfId="0" applyFont="1" applyBorder="1" applyAlignment="1">
      <alignment vertical="center" wrapText="1"/>
    </xf>
    <xf numFmtId="0" fontId="5" fillId="0" borderId="0" xfId="0" applyFont="1" applyAlignment="1">
      <alignment horizontal="center"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10" xfId="0" applyFont="1" applyBorder="1" applyAlignment="1">
      <alignment vertical="center" wrapText="1"/>
    </xf>
    <xf numFmtId="0" fontId="4" fillId="0" borderId="6" xfId="0" applyFont="1" applyBorder="1" applyAlignment="1">
      <alignment horizontal="center" vertical="center" wrapText="1"/>
    </xf>
    <xf numFmtId="0" fontId="5" fillId="5" borderId="13" xfId="0" applyFont="1" applyFill="1" applyBorder="1" applyAlignment="1">
      <alignment vertical="center" wrapText="1"/>
    </xf>
    <xf numFmtId="0" fontId="5" fillId="5" borderId="9" xfId="0" applyFont="1" applyFill="1" applyBorder="1" applyAlignment="1">
      <alignment vertical="center" wrapText="1"/>
    </xf>
    <xf numFmtId="0" fontId="4" fillId="0" borderId="5" xfId="0" applyFont="1" applyBorder="1" applyAlignment="1">
      <alignment vertical="center"/>
    </xf>
    <xf numFmtId="0" fontId="2" fillId="0" borderId="10" xfId="0" applyFont="1" applyBorder="1" applyAlignment="1">
      <alignment vertical="center" wrapText="1"/>
    </xf>
    <xf numFmtId="0" fontId="2" fillId="0" borderId="6" xfId="0" applyFont="1" applyBorder="1" applyAlignment="1">
      <alignment vertical="center" wrapText="1"/>
    </xf>
    <xf numFmtId="0" fontId="4" fillId="0" borderId="6"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8" xfId="0" applyFont="1" applyFill="1" applyBorder="1" applyAlignment="1">
      <alignment vertical="center" wrapText="1"/>
    </xf>
    <xf numFmtId="0" fontId="4" fillId="0" borderId="10" xfId="0" applyFont="1" applyBorder="1" applyAlignment="1">
      <alignment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4" fillId="0" borderId="7" xfId="0" applyFont="1" applyBorder="1" applyAlignment="1">
      <alignment horizontal="center" vertical="center" wrapText="1"/>
    </xf>
    <xf numFmtId="0" fontId="5" fillId="7" borderId="12" xfId="0" applyFont="1" applyFill="1" applyBorder="1" applyAlignment="1">
      <alignment vertical="center"/>
    </xf>
    <xf numFmtId="0" fontId="5" fillId="7" borderId="8" xfId="0" applyFont="1" applyFill="1" applyBorder="1" applyAlignment="1">
      <alignment vertical="center"/>
    </xf>
    <xf numFmtId="0" fontId="4" fillId="0" borderId="11" xfId="0" applyFont="1" applyBorder="1" applyAlignment="1">
      <alignment vertical="center"/>
    </xf>
    <xf numFmtId="0" fontId="4" fillId="0" borderId="11" xfId="0" applyFont="1" applyBorder="1" applyAlignment="1">
      <alignment vertical="center" wrapText="1"/>
    </xf>
    <xf numFmtId="0" fontId="4" fillId="0" borderId="11" xfId="0" applyNumberFormat="1" applyFont="1" applyBorder="1" applyAlignment="1">
      <alignment horizontal="center" vertical="center" wrapText="1"/>
    </xf>
    <xf numFmtId="0" fontId="4" fillId="0" borderId="10" xfId="0" applyFont="1" applyBorder="1" applyAlignment="1">
      <alignment vertical="center"/>
    </xf>
    <xf numFmtId="0" fontId="4" fillId="0" borderId="10" xfId="0" applyFont="1" applyBorder="1" applyAlignment="1">
      <alignment vertical="center" wrapText="1"/>
    </xf>
    <xf numFmtId="0" fontId="4" fillId="0" borderId="10" xfId="0" applyNumberFormat="1" applyFont="1" applyBorder="1" applyAlignment="1">
      <alignment horizontal="center" vertical="center" wrapText="1"/>
    </xf>
    <xf numFmtId="0" fontId="2" fillId="0" borderId="11" xfId="0" applyFont="1" applyBorder="1" applyAlignment="1">
      <alignment vertical="center" wrapText="1"/>
    </xf>
    <xf numFmtId="0" fontId="2" fillId="0" borderId="10" xfId="0" applyFont="1" applyBorder="1" applyAlignment="1">
      <alignment vertical="center" wrapText="1"/>
    </xf>
    <xf numFmtId="0" fontId="4" fillId="0" borderId="12" xfId="0" applyFont="1" applyBorder="1" applyAlignment="1">
      <alignment vertical="center" wrapText="1"/>
    </xf>
    <xf numFmtId="0" fontId="4" fillId="0" borderId="8" xfId="0" applyFont="1" applyBorder="1" applyAlignment="1">
      <alignment vertical="center" wrapText="1"/>
    </xf>
    <xf numFmtId="0" fontId="4" fillId="0" borderId="7" xfId="0" applyFont="1" applyBorder="1" applyAlignment="1">
      <alignment vertical="center" wrapText="1"/>
    </xf>
    <xf numFmtId="0" fontId="5" fillId="8" borderId="12" xfId="0" applyFont="1" applyFill="1" applyBorder="1" applyAlignment="1">
      <alignment vertical="center"/>
    </xf>
    <xf numFmtId="0" fontId="5" fillId="8" borderId="8" xfId="0" applyFont="1" applyFill="1" applyBorder="1" applyAlignment="1">
      <alignment vertical="center"/>
    </xf>
    <xf numFmtId="0" fontId="4" fillId="0" borderId="0" xfId="0" applyFont="1" applyAlignment="1">
      <alignment vertical="center"/>
    </xf>
    <xf numFmtId="49" fontId="4" fillId="0" borderId="6"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0" xfId="0" applyNumberFormat="1" applyFont="1" applyAlignment="1">
      <alignment horizontal="center" vertical="center"/>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2" xfId="0" applyFill="1" applyBorder="1"/>
    <xf numFmtId="0" fontId="0" fillId="0" borderId="2" xfId="0" applyFill="1" applyBorder="1" applyAlignment="1">
      <alignment wrapText="1"/>
    </xf>
    <xf numFmtId="0" fontId="0" fillId="0" borderId="15" xfId="0" applyFill="1" applyBorder="1"/>
    <xf numFmtId="2" fontId="0" fillId="0" borderId="15" xfId="0" applyNumberFormat="1" applyFont="1" applyFill="1" applyBorder="1"/>
    <xf numFmtId="0" fontId="0" fillId="0" borderId="15" xfId="0" applyNumberFormat="1" applyFont="1" applyFill="1" applyBorder="1"/>
    <xf numFmtId="2" fontId="0" fillId="0" borderId="1" xfId="0" applyNumberFormat="1" applyFill="1" applyBorder="1"/>
    <xf numFmtId="0" fontId="1" fillId="9" borderId="1" xfId="0" applyFont="1" applyFill="1" applyBorder="1" applyAlignment="1">
      <alignment horizontal="center"/>
    </xf>
    <xf numFmtId="0" fontId="0" fillId="0" borderId="1" xfId="0" applyFill="1" applyBorder="1" applyAlignment="1">
      <alignment wrapText="1"/>
    </xf>
    <xf numFmtId="0" fontId="1" fillId="9" borderId="1" xfId="0" applyFont="1" applyFill="1" applyBorder="1" applyAlignment="1">
      <alignment horizontal="center"/>
    </xf>
    <xf numFmtId="0" fontId="0" fillId="0" borderId="1" xfId="0" applyNumberFormat="1" applyFont="1" applyFill="1" applyBorder="1"/>
    <xf numFmtId="2" fontId="0" fillId="0" borderId="1" xfId="0" applyNumberFormat="1" applyFont="1" applyFill="1" applyBorder="1"/>
    <xf numFmtId="0" fontId="0" fillId="0" borderId="15" xfId="0" applyFill="1" applyBorder="1" applyAlignment="1">
      <alignment wrapText="1"/>
    </xf>
    <xf numFmtId="0" fontId="0" fillId="0" borderId="0" xfId="0" applyNumberFormat="1" applyFont="1" applyFill="1" applyBorder="1" applyAlignment="1">
      <alignment wrapText="1"/>
    </xf>
    <xf numFmtId="0" fontId="0" fillId="0" borderId="2" xfId="0" applyNumberFormat="1" applyFont="1" applyFill="1" applyBorder="1" applyAlignment="1">
      <alignment wrapText="1"/>
    </xf>
    <xf numFmtId="0" fontId="3" fillId="0" borderId="2" xfId="0" applyFont="1" applyFill="1" applyBorder="1" applyAlignment="1">
      <alignment wrapText="1"/>
    </xf>
    <xf numFmtId="0" fontId="6" fillId="0" borderId="2" xfId="0" applyFont="1" applyFill="1" applyBorder="1" applyAlignment="1"/>
    <xf numFmtId="0" fontId="1" fillId="10" borderId="1" xfId="0" applyFont="1" applyFill="1" applyBorder="1" applyAlignment="1">
      <alignment horizontal="center"/>
    </xf>
    <xf numFmtId="0" fontId="1" fillId="2" borderId="1" xfId="0" applyFont="1" applyFill="1" applyBorder="1"/>
    <xf numFmtId="2" fontId="1" fillId="2" borderId="1" xfId="0" applyNumberFormat="1" applyFont="1" applyFill="1" applyBorder="1"/>
    <xf numFmtId="0" fontId="1" fillId="2" borderId="1" xfId="0" applyFont="1" applyFill="1" applyBorder="1" applyAlignment="1">
      <alignment wrapText="1"/>
    </xf>
    <xf numFmtId="0" fontId="1" fillId="2" borderId="16" xfId="0" applyFont="1" applyFill="1" applyBorder="1" applyAlignment="1">
      <alignment horizontal="center"/>
    </xf>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10" borderId="16" xfId="0" applyFont="1" applyFill="1" applyBorder="1" applyAlignment="1">
      <alignment horizontal="center"/>
    </xf>
    <xf numFmtId="0" fontId="1" fillId="10" borderId="17" xfId="0" applyFont="1" applyFill="1" applyBorder="1" applyAlignment="1">
      <alignment horizontal="center"/>
    </xf>
    <xf numFmtId="0" fontId="1" fillId="10" borderId="18" xfId="0" applyFont="1" applyFill="1" applyBorder="1" applyAlignment="1">
      <alignment horizontal="center"/>
    </xf>
    <xf numFmtId="0" fontId="1" fillId="3" borderId="1" xfId="0" applyFont="1" applyFill="1" applyBorder="1" applyAlignment="1">
      <alignment horizontal="center" wrapText="1"/>
    </xf>
    <xf numFmtId="0" fontId="1" fillId="3" borderId="16" xfId="0" applyFont="1" applyFill="1" applyBorder="1" applyAlignment="1">
      <alignment horizontal="center"/>
    </xf>
    <xf numFmtId="0" fontId="1" fillId="3" borderId="18" xfId="0" applyFont="1" applyFill="1" applyBorder="1" applyAlignment="1">
      <alignment horizontal="center"/>
    </xf>
    <xf numFmtId="0" fontId="1" fillId="0" borderId="1" xfId="0" applyFont="1" applyFill="1" applyBorder="1" applyAlignment="1">
      <alignment horizontal="center" vertical="center" wrapText="1"/>
    </xf>
    <xf numFmtId="0" fontId="0" fillId="4" borderId="1" xfId="0" applyFill="1" applyBorder="1" applyAlignment="1">
      <alignment wrapText="1"/>
    </xf>
    <xf numFmtId="0" fontId="1" fillId="4" borderId="1" xfId="0" applyFont="1" applyFill="1" applyBorder="1" applyAlignment="1">
      <alignment horizontal="center" vertical="center" wrapText="1"/>
    </xf>
    <xf numFmtId="0" fontId="0" fillId="0" borderId="1" xfId="0" applyFill="1" applyBorder="1" applyAlignment="1">
      <alignment vertical="center" wrapText="1"/>
    </xf>
    <xf numFmtId="0" fontId="0" fillId="0" borderId="1" xfId="0" applyNumberFormat="1" applyFont="1" applyFill="1" applyBorder="1" applyAlignment="1">
      <alignment vertical="center" wrapText="1"/>
    </xf>
    <xf numFmtId="0" fontId="3" fillId="0" borderId="1" xfId="0" applyFont="1" applyFill="1" applyBorder="1" applyAlignment="1">
      <alignment vertical="center" wrapText="1"/>
    </xf>
    <xf numFmtId="0" fontId="0"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17" fontId="0" fillId="0" borderId="1" xfId="0" applyNumberFormat="1" applyFont="1" applyFill="1" applyBorder="1" applyAlignment="1">
      <alignment horizontal="center" vertical="center"/>
    </xf>
    <xf numFmtId="0" fontId="0" fillId="0" borderId="19" xfId="0" applyBorder="1"/>
    <xf numFmtId="2" fontId="0" fillId="0" borderId="19" xfId="0" applyNumberFormat="1" applyBorder="1" applyAlignment="1">
      <alignment horizontal="center"/>
    </xf>
    <xf numFmtId="2" fontId="0" fillId="0" borderId="19" xfId="0" applyNumberFormat="1" applyBorder="1"/>
    <xf numFmtId="0" fontId="1" fillId="0" borderId="1" xfId="0" applyFont="1" applyBorder="1" applyAlignment="1">
      <alignment horizontal="center" wrapText="1"/>
    </xf>
    <xf numFmtId="3" fontId="0" fillId="0" borderId="1" xfId="0" applyNumberFormat="1" applyFill="1" applyBorder="1" applyAlignment="1">
      <alignment horizontal="left"/>
    </xf>
    <xf numFmtId="0" fontId="0" fillId="0" borderId="1" xfId="0" applyFill="1" applyBorder="1" applyAlignment="1">
      <alignment horizontal="left"/>
    </xf>
    <xf numFmtId="0" fontId="7" fillId="0" borderId="20" xfId="0" applyFont="1" applyBorder="1" applyAlignment="1">
      <alignment horizontal="center"/>
    </xf>
    <xf numFmtId="0" fontId="7"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Chris White" id="{94BC1ACC-9ED2-4B3A-AA3C-7386BD54345B}" userId="15f3c2abe375a8dc"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22F78-69D3-47D2-996E-A563FD2BFB16}">
  <sheetPr>
    <pageSetUpPr fitToPage="1"/>
  </sheetPr>
  <dimension ref="A1:H520"/>
  <sheetViews>
    <sheetView tabSelected="1" workbookViewId="0">
      <selection activeCell="P9" sqref="P9"/>
    </sheetView>
  </sheetViews>
  <sheetFormatPr defaultRowHeight="15" x14ac:dyDescent="0.25"/>
  <cols>
    <col min="1" max="1" width="15" style="6" customWidth="1"/>
    <col min="2" max="2" width="13.140625" style="6" customWidth="1"/>
    <col min="3" max="3" width="11.85546875" style="7" customWidth="1"/>
    <col min="4" max="4" width="18.85546875" style="8" bestFit="1" customWidth="1"/>
    <col min="5" max="7" width="15.140625" style="1" customWidth="1"/>
    <col min="8" max="8" width="40.42578125" style="4" customWidth="1"/>
  </cols>
  <sheetData>
    <row r="1" spans="1:8" ht="21" x14ac:dyDescent="0.35">
      <c r="A1" s="125" t="s">
        <v>401</v>
      </c>
      <c r="B1" s="126"/>
      <c r="C1" s="126"/>
      <c r="D1" s="126"/>
      <c r="E1" s="126"/>
      <c r="F1" s="126"/>
      <c r="G1" s="126"/>
      <c r="H1" s="126"/>
    </row>
    <row r="2" spans="1:8" ht="90" x14ac:dyDescent="0.25">
      <c r="A2" s="9" t="s">
        <v>0</v>
      </c>
      <c r="B2" s="9" t="s">
        <v>6</v>
      </c>
      <c r="C2" s="10" t="s">
        <v>7</v>
      </c>
      <c r="D2" s="11" t="s">
        <v>8</v>
      </c>
      <c r="E2" s="122" t="s">
        <v>259</v>
      </c>
      <c r="F2" s="122" t="s">
        <v>205</v>
      </c>
      <c r="G2" s="122" t="s">
        <v>400</v>
      </c>
      <c r="H2" s="109" t="s">
        <v>164</v>
      </c>
    </row>
    <row r="3" spans="1:8" x14ac:dyDescent="0.25">
      <c r="A3" s="6" t="s">
        <v>1</v>
      </c>
      <c r="B3" s="6">
        <v>6017030601</v>
      </c>
      <c r="C3" s="7">
        <v>306.01</v>
      </c>
      <c r="D3" s="12" t="s">
        <v>9</v>
      </c>
      <c r="E3" s="13">
        <v>58</v>
      </c>
      <c r="F3" s="13">
        <v>8</v>
      </c>
      <c r="G3" s="13">
        <v>0</v>
      </c>
      <c r="H3" s="123" t="s">
        <v>100</v>
      </c>
    </row>
    <row r="4" spans="1:8" x14ac:dyDescent="0.25">
      <c r="A4" s="6" t="s">
        <v>1</v>
      </c>
      <c r="B4" s="6">
        <v>6017030602</v>
      </c>
      <c r="C4" s="7">
        <v>306.02</v>
      </c>
      <c r="D4" s="12" t="s">
        <v>10</v>
      </c>
      <c r="E4" s="13">
        <v>19</v>
      </c>
      <c r="F4" s="13">
        <v>36</v>
      </c>
      <c r="G4" s="13">
        <v>11</v>
      </c>
      <c r="H4" s="123" t="s">
        <v>100</v>
      </c>
    </row>
    <row r="5" spans="1:8" x14ac:dyDescent="0.25">
      <c r="A5" s="6" t="s">
        <v>1</v>
      </c>
      <c r="B5" s="6">
        <v>6017030603</v>
      </c>
      <c r="C5" s="7">
        <v>306.02999999999997</v>
      </c>
      <c r="D5" s="12" t="s">
        <v>11</v>
      </c>
      <c r="E5" s="13">
        <v>7</v>
      </c>
      <c r="F5" s="13">
        <v>0</v>
      </c>
      <c r="G5" s="13">
        <v>0</v>
      </c>
      <c r="H5" s="123" t="s">
        <v>100</v>
      </c>
    </row>
    <row r="6" spans="1:8" x14ac:dyDescent="0.25">
      <c r="A6" s="6" t="s">
        <v>1</v>
      </c>
      <c r="B6" s="6">
        <v>6017030701</v>
      </c>
      <c r="C6" s="7">
        <v>307.01</v>
      </c>
      <c r="D6" s="12" t="s">
        <v>12</v>
      </c>
      <c r="E6" s="13">
        <v>45</v>
      </c>
      <c r="F6" s="13">
        <v>36</v>
      </c>
      <c r="G6" s="13">
        <v>30</v>
      </c>
      <c r="H6" s="123" t="s">
        <v>100</v>
      </c>
    </row>
    <row r="7" spans="1:8" x14ac:dyDescent="0.25">
      <c r="A7" s="6" t="s">
        <v>1</v>
      </c>
      <c r="B7" s="6">
        <v>6017030704</v>
      </c>
      <c r="C7" s="7">
        <v>307.04000000000002</v>
      </c>
      <c r="D7" s="12" t="s">
        <v>13</v>
      </c>
      <c r="E7" s="13">
        <v>1637</v>
      </c>
      <c r="F7" s="13">
        <f>1253+678+55</f>
        <v>1986</v>
      </c>
      <c r="G7" s="13">
        <f>262+107+237+1200</f>
        <v>1806</v>
      </c>
      <c r="H7" s="123" t="s">
        <v>144</v>
      </c>
    </row>
    <row r="8" spans="1:8" x14ac:dyDescent="0.25">
      <c r="A8" s="6" t="s">
        <v>1</v>
      </c>
      <c r="B8" s="6">
        <v>6017030706</v>
      </c>
      <c r="C8" s="7">
        <v>307.06</v>
      </c>
      <c r="D8" s="12" t="s">
        <v>12</v>
      </c>
      <c r="E8" s="13">
        <v>91</v>
      </c>
      <c r="F8" s="13">
        <f>82+8</f>
        <v>90</v>
      </c>
      <c r="G8" s="13">
        <f>64+15+23</f>
        <v>102</v>
      </c>
      <c r="H8" s="123" t="s">
        <v>100</v>
      </c>
    </row>
    <row r="9" spans="1:8" x14ac:dyDescent="0.25">
      <c r="A9" s="6" t="s">
        <v>1</v>
      </c>
      <c r="B9" s="6">
        <v>6017030709</v>
      </c>
      <c r="C9" s="7">
        <v>307.08999999999997</v>
      </c>
      <c r="D9" s="12" t="s">
        <v>14</v>
      </c>
      <c r="E9" s="13">
        <v>37</v>
      </c>
      <c r="F9" s="13">
        <v>39</v>
      </c>
      <c r="G9" s="13">
        <v>30</v>
      </c>
      <c r="H9" s="123" t="s">
        <v>100</v>
      </c>
    </row>
    <row r="10" spans="1:8" x14ac:dyDescent="0.25">
      <c r="A10" s="6" t="s">
        <v>1</v>
      </c>
      <c r="B10" s="6">
        <v>6017030710</v>
      </c>
      <c r="C10" s="7">
        <v>307.10000000000002</v>
      </c>
      <c r="D10" s="12" t="s">
        <v>12</v>
      </c>
      <c r="E10" s="13">
        <v>38</v>
      </c>
      <c r="F10" s="13">
        <v>39</v>
      </c>
      <c r="G10" s="13">
        <v>51</v>
      </c>
      <c r="H10" s="123" t="s">
        <v>100</v>
      </c>
    </row>
    <row r="11" spans="1:8" x14ac:dyDescent="0.25">
      <c r="A11" s="6" t="s">
        <v>1</v>
      </c>
      <c r="B11" s="6">
        <v>6017030801</v>
      </c>
      <c r="C11" s="7">
        <v>308.01</v>
      </c>
      <c r="D11" s="12" t="s">
        <v>14</v>
      </c>
      <c r="E11" s="13">
        <v>21</v>
      </c>
      <c r="F11" s="13">
        <v>43</v>
      </c>
      <c r="G11" s="13">
        <v>17</v>
      </c>
      <c r="H11" s="123" t="s">
        <v>100</v>
      </c>
    </row>
    <row r="12" spans="1:8" x14ac:dyDescent="0.25">
      <c r="A12" s="6" t="s">
        <v>1</v>
      </c>
      <c r="B12" s="6">
        <v>6017030803</v>
      </c>
      <c r="C12" s="7">
        <v>308.02999999999997</v>
      </c>
      <c r="D12" s="12" t="s">
        <v>13</v>
      </c>
      <c r="E12" s="13">
        <v>200</v>
      </c>
      <c r="F12" s="13">
        <f>153+18</f>
        <v>171</v>
      </c>
      <c r="G12" s="13">
        <f>20+18+100+37</f>
        <v>175</v>
      </c>
      <c r="H12" s="123" t="s">
        <v>100</v>
      </c>
    </row>
    <row r="13" spans="1:8" x14ac:dyDescent="0.25">
      <c r="A13" s="6" t="s">
        <v>1</v>
      </c>
      <c r="B13" s="6">
        <v>6017030804</v>
      </c>
      <c r="C13" s="7">
        <v>308.04000000000002</v>
      </c>
      <c r="D13" s="12" t="s">
        <v>85</v>
      </c>
      <c r="E13" s="13">
        <v>490</v>
      </c>
      <c r="F13" s="13">
        <f>618+256+2</f>
        <v>876</v>
      </c>
      <c r="G13" s="13">
        <f>40+16+194</f>
        <v>250</v>
      </c>
      <c r="H13" s="123" t="s">
        <v>100</v>
      </c>
    </row>
    <row r="14" spans="1:8" x14ac:dyDescent="0.25">
      <c r="A14" s="6" t="s">
        <v>1</v>
      </c>
      <c r="B14" s="6">
        <v>6017030807</v>
      </c>
      <c r="C14" s="7">
        <v>308.07</v>
      </c>
      <c r="D14" s="12" t="s">
        <v>13</v>
      </c>
      <c r="E14" s="13">
        <v>66</v>
      </c>
      <c r="F14" s="13">
        <v>35</v>
      </c>
      <c r="G14" s="13">
        <v>20</v>
      </c>
      <c r="H14" s="123" t="s">
        <v>100</v>
      </c>
    </row>
    <row r="15" spans="1:8" x14ac:dyDescent="0.25">
      <c r="A15" s="6" t="s">
        <v>1</v>
      </c>
      <c r="B15" s="6">
        <v>6017030808</v>
      </c>
      <c r="C15" s="7">
        <v>308.08</v>
      </c>
      <c r="D15" s="12" t="s">
        <v>12</v>
      </c>
      <c r="E15" s="13">
        <v>19</v>
      </c>
      <c r="F15" s="13">
        <v>29</v>
      </c>
      <c r="G15" s="13">
        <f>15+33</f>
        <v>48</v>
      </c>
      <c r="H15" s="123" t="s">
        <v>100</v>
      </c>
    </row>
    <row r="16" spans="1:8" x14ac:dyDescent="0.25">
      <c r="A16" s="6" t="s">
        <v>1</v>
      </c>
      <c r="B16" s="6">
        <v>6017030809</v>
      </c>
      <c r="C16" s="7">
        <v>308.08999999999997</v>
      </c>
      <c r="D16" s="12" t="s">
        <v>85</v>
      </c>
      <c r="E16" s="13">
        <v>19</v>
      </c>
      <c r="F16" s="13">
        <v>23</v>
      </c>
      <c r="G16" s="13">
        <v>6</v>
      </c>
      <c r="H16" s="123" t="s">
        <v>145</v>
      </c>
    </row>
    <row r="17" spans="1:8" x14ac:dyDescent="0.25">
      <c r="A17" s="6" t="s">
        <v>1</v>
      </c>
      <c r="B17" s="6">
        <v>6017030810</v>
      </c>
      <c r="C17" s="7">
        <v>308.10000000000002</v>
      </c>
      <c r="D17" s="12" t="s">
        <v>85</v>
      </c>
      <c r="E17" s="13">
        <v>159</v>
      </c>
      <c r="F17" s="13">
        <f>134+157</f>
        <v>291</v>
      </c>
      <c r="G17" s="13">
        <f>25+31+39</f>
        <v>95</v>
      </c>
      <c r="H17" s="123" t="s">
        <v>145</v>
      </c>
    </row>
    <row r="18" spans="1:8" x14ac:dyDescent="0.25">
      <c r="A18" s="6" t="s">
        <v>1</v>
      </c>
      <c r="B18" s="6">
        <v>6017030901</v>
      </c>
      <c r="C18" s="7">
        <v>309.01</v>
      </c>
      <c r="D18" s="12" t="s">
        <v>86</v>
      </c>
      <c r="E18" s="13">
        <v>210</v>
      </c>
      <c r="F18" s="13">
        <f>149+5</f>
        <v>154</v>
      </c>
      <c r="G18" s="13">
        <f>12+42</f>
        <v>54</v>
      </c>
      <c r="H18" s="123" t="s">
        <v>145</v>
      </c>
    </row>
    <row r="19" spans="1:8" x14ac:dyDescent="0.25">
      <c r="A19" s="6" t="s">
        <v>1</v>
      </c>
      <c r="B19" s="6">
        <v>6017030902</v>
      </c>
      <c r="C19" s="7">
        <v>309.02</v>
      </c>
      <c r="D19" s="12" t="s">
        <v>15</v>
      </c>
      <c r="E19" s="13">
        <v>291</v>
      </c>
      <c r="F19" s="13">
        <f>48+5+10</f>
        <v>63</v>
      </c>
      <c r="G19" s="13">
        <v>80</v>
      </c>
      <c r="H19" s="123" t="s">
        <v>145</v>
      </c>
    </row>
    <row r="20" spans="1:8" x14ac:dyDescent="0.25">
      <c r="A20" s="6" t="s">
        <v>1</v>
      </c>
      <c r="B20" s="6">
        <v>6017031000</v>
      </c>
      <c r="C20" s="7">
        <v>310</v>
      </c>
      <c r="D20" s="12" t="s">
        <v>15</v>
      </c>
      <c r="E20" s="13">
        <v>479</v>
      </c>
      <c r="F20" s="13">
        <v>94</v>
      </c>
      <c r="G20" s="13">
        <f>82+100+12+11</f>
        <v>205</v>
      </c>
      <c r="H20" s="123" t="s">
        <v>145</v>
      </c>
    </row>
    <row r="21" spans="1:8" x14ac:dyDescent="0.25">
      <c r="A21" s="6" t="s">
        <v>1</v>
      </c>
      <c r="B21" s="6">
        <v>6017031100</v>
      </c>
      <c r="C21" s="7">
        <v>311</v>
      </c>
      <c r="D21" s="12" t="s">
        <v>15</v>
      </c>
      <c r="E21" s="13">
        <v>919</v>
      </c>
      <c r="F21" s="13">
        <f>292+892+131</f>
        <v>1315</v>
      </c>
      <c r="G21" s="13">
        <v>59</v>
      </c>
      <c r="H21" s="123" t="s">
        <v>146</v>
      </c>
    </row>
    <row r="22" spans="1:8" x14ac:dyDescent="0.25">
      <c r="A22" s="6" t="s">
        <v>1</v>
      </c>
      <c r="B22" s="6">
        <v>6017031200</v>
      </c>
      <c r="C22" s="7">
        <v>312</v>
      </c>
      <c r="D22" s="12" t="s">
        <v>15</v>
      </c>
      <c r="E22" s="13">
        <v>804</v>
      </c>
      <c r="F22" s="13">
        <f>434+16+7</f>
        <v>457</v>
      </c>
      <c r="G22" s="13">
        <f>23+143+11</f>
        <v>177</v>
      </c>
      <c r="H22" s="123" t="s">
        <v>146</v>
      </c>
    </row>
    <row r="23" spans="1:8" x14ac:dyDescent="0.25">
      <c r="A23" s="6" t="s">
        <v>1</v>
      </c>
      <c r="B23" s="6">
        <v>6017031301</v>
      </c>
      <c r="C23" s="7">
        <v>313.01</v>
      </c>
      <c r="D23" s="12" t="s">
        <v>16</v>
      </c>
      <c r="E23" s="13">
        <v>168</v>
      </c>
      <c r="F23" s="13">
        <f>29+75</f>
        <v>104</v>
      </c>
      <c r="G23" s="13">
        <v>9</v>
      </c>
      <c r="H23" s="123" t="s">
        <v>145</v>
      </c>
    </row>
    <row r="24" spans="1:8" x14ac:dyDescent="0.25">
      <c r="A24" s="6" t="s">
        <v>1</v>
      </c>
      <c r="B24" s="6">
        <v>6017031302</v>
      </c>
      <c r="C24" s="7">
        <v>313.02</v>
      </c>
      <c r="D24" s="12" t="s">
        <v>17</v>
      </c>
      <c r="E24" s="13">
        <v>52</v>
      </c>
      <c r="F24" s="13">
        <v>26</v>
      </c>
      <c r="G24" s="13">
        <v>31</v>
      </c>
      <c r="H24" s="123" t="s">
        <v>145</v>
      </c>
    </row>
    <row r="25" spans="1:8" x14ac:dyDescent="0.25">
      <c r="A25" s="6" t="s">
        <v>1</v>
      </c>
      <c r="B25" s="6">
        <v>6017031402</v>
      </c>
      <c r="C25" s="7">
        <v>314.02</v>
      </c>
      <c r="D25" s="12" t="s">
        <v>18</v>
      </c>
      <c r="E25" s="13">
        <v>46</v>
      </c>
      <c r="F25" s="13">
        <v>106</v>
      </c>
      <c r="G25" s="13">
        <v>15</v>
      </c>
      <c r="H25" s="123" t="s">
        <v>145</v>
      </c>
    </row>
    <row r="26" spans="1:8" x14ac:dyDescent="0.25">
      <c r="A26" s="6" t="s">
        <v>1</v>
      </c>
      <c r="B26" s="6">
        <v>6017031404</v>
      </c>
      <c r="C26" s="7">
        <v>314.04000000000002</v>
      </c>
      <c r="D26" s="12" t="s">
        <v>15</v>
      </c>
      <c r="E26" s="13">
        <v>36</v>
      </c>
      <c r="F26" s="13">
        <v>68</v>
      </c>
      <c r="G26" s="13">
        <v>7</v>
      </c>
      <c r="H26" s="123" t="s">
        <v>145</v>
      </c>
    </row>
    <row r="27" spans="1:8" x14ac:dyDescent="0.25">
      <c r="A27" s="6" t="s">
        <v>1</v>
      </c>
      <c r="B27" s="6">
        <v>6017031405</v>
      </c>
      <c r="C27" s="7">
        <v>314.05</v>
      </c>
      <c r="D27" s="12" t="s">
        <v>17</v>
      </c>
      <c r="E27" s="13">
        <v>61</v>
      </c>
      <c r="F27" s="13">
        <v>33</v>
      </c>
      <c r="G27" s="13">
        <v>7</v>
      </c>
      <c r="H27" s="123" t="s">
        <v>145</v>
      </c>
    </row>
    <row r="28" spans="1:8" x14ac:dyDescent="0.25">
      <c r="A28" s="6" t="s">
        <v>1</v>
      </c>
      <c r="B28" s="6">
        <v>6017031406</v>
      </c>
      <c r="C28" s="7">
        <v>314.06</v>
      </c>
      <c r="D28" s="12" t="s">
        <v>17</v>
      </c>
      <c r="E28" s="13">
        <v>98</v>
      </c>
      <c r="F28" s="13">
        <f>49+112</f>
        <v>161</v>
      </c>
      <c r="G28" s="13">
        <v>5</v>
      </c>
      <c r="H28" s="123" t="s">
        <v>145</v>
      </c>
    </row>
    <row r="29" spans="1:8" x14ac:dyDescent="0.25">
      <c r="A29" s="6" t="s">
        <v>1</v>
      </c>
      <c r="B29" s="6">
        <v>6017031502</v>
      </c>
      <c r="C29" s="7">
        <v>315.02</v>
      </c>
      <c r="D29" s="12" t="s">
        <v>15</v>
      </c>
      <c r="E29" s="13">
        <v>658</v>
      </c>
      <c r="F29" s="13">
        <f>338+373+9</f>
        <v>720</v>
      </c>
      <c r="G29" s="13">
        <f>84+32+140</f>
        <v>256</v>
      </c>
      <c r="H29" s="123" t="s">
        <v>145</v>
      </c>
    </row>
    <row r="30" spans="1:8" x14ac:dyDescent="0.25">
      <c r="A30" s="6" t="s">
        <v>1</v>
      </c>
      <c r="B30" s="6">
        <v>6017031503</v>
      </c>
      <c r="C30" s="7">
        <v>315.02999999999997</v>
      </c>
      <c r="D30" s="12" t="s">
        <v>1</v>
      </c>
      <c r="E30" s="13">
        <v>15</v>
      </c>
      <c r="F30" s="13">
        <v>51</v>
      </c>
      <c r="G30" s="13">
        <v>14</v>
      </c>
      <c r="H30" s="123" t="s">
        <v>145</v>
      </c>
    </row>
    <row r="31" spans="1:8" x14ac:dyDescent="0.25">
      <c r="A31" s="6" t="s">
        <v>1</v>
      </c>
      <c r="B31" s="6">
        <v>6017031504</v>
      </c>
      <c r="C31" s="7">
        <v>315.04000000000002</v>
      </c>
      <c r="D31" s="12" t="s">
        <v>15</v>
      </c>
      <c r="E31" s="13">
        <v>49</v>
      </c>
      <c r="F31" s="13">
        <f>44+25+3</f>
        <v>72</v>
      </c>
      <c r="G31" s="13">
        <f>26+35+14</f>
        <v>75</v>
      </c>
      <c r="H31" s="123" t="s">
        <v>145</v>
      </c>
    </row>
    <row r="32" spans="1:8" x14ac:dyDescent="0.25">
      <c r="A32" s="6" t="s">
        <v>1</v>
      </c>
      <c r="B32" s="6">
        <v>6017031700</v>
      </c>
      <c r="C32" s="7">
        <v>317</v>
      </c>
      <c r="D32" s="12" t="s">
        <v>12</v>
      </c>
      <c r="E32" s="13">
        <v>32</v>
      </c>
      <c r="F32" s="13">
        <f>67+2</f>
        <v>69</v>
      </c>
      <c r="G32" s="13">
        <v>9</v>
      </c>
      <c r="H32" s="123" t="s">
        <v>145</v>
      </c>
    </row>
    <row r="33" spans="1:8" x14ac:dyDescent="0.25">
      <c r="A33" s="6" t="s">
        <v>1</v>
      </c>
      <c r="B33" s="6">
        <v>6017031800</v>
      </c>
      <c r="C33" s="7">
        <v>318</v>
      </c>
      <c r="D33" s="12" t="s">
        <v>12</v>
      </c>
      <c r="E33" s="13">
        <v>205</v>
      </c>
      <c r="F33" s="13">
        <v>95</v>
      </c>
      <c r="G33" s="13">
        <v>39</v>
      </c>
      <c r="H33" s="123" t="s">
        <v>145</v>
      </c>
    </row>
    <row r="34" spans="1:8" x14ac:dyDescent="0.25">
      <c r="A34" s="6" t="s">
        <v>1</v>
      </c>
      <c r="B34" s="6">
        <v>6017031900</v>
      </c>
      <c r="C34" s="7">
        <v>319</v>
      </c>
      <c r="D34" s="12" t="s">
        <v>19</v>
      </c>
      <c r="E34" s="13">
        <v>107</v>
      </c>
      <c r="F34" s="13">
        <v>0</v>
      </c>
      <c r="G34" s="13">
        <v>0</v>
      </c>
      <c r="H34" s="123" t="s">
        <v>108</v>
      </c>
    </row>
    <row r="35" spans="1:8" x14ac:dyDescent="0.25">
      <c r="A35" s="6" t="s">
        <v>2</v>
      </c>
      <c r="B35" s="6">
        <v>6061020200</v>
      </c>
      <c r="C35" s="7">
        <v>202</v>
      </c>
      <c r="D35" s="12" t="s">
        <v>22</v>
      </c>
      <c r="E35" s="13">
        <v>72</v>
      </c>
      <c r="F35" s="13">
        <v>106</v>
      </c>
      <c r="G35" s="13">
        <v>27</v>
      </c>
      <c r="H35" s="123" t="s">
        <v>100</v>
      </c>
    </row>
    <row r="36" spans="1:8" x14ac:dyDescent="0.25">
      <c r="A36" s="6" t="s">
        <v>2</v>
      </c>
      <c r="B36" s="6">
        <v>6061020300</v>
      </c>
      <c r="C36" s="7">
        <v>203</v>
      </c>
      <c r="D36" s="12" t="s">
        <v>23</v>
      </c>
      <c r="E36" s="13">
        <v>652</v>
      </c>
      <c r="F36" s="13">
        <f>208+47</f>
        <v>255</v>
      </c>
      <c r="G36" s="13">
        <f>24+144+115</f>
        <v>283</v>
      </c>
      <c r="H36" s="123" t="s">
        <v>100</v>
      </c>
    </row>
    <row r="37" spans="1:8" x14ac:dyDescent="0.25">
      <c r="A37" s="6" t="s">
        <v>2</v>
      </c>
      <c r="B37" s="6">
        <v>6061020401</v>
      </c>
      <c r="C37" s="7">
        <v>204.01</v>
      </c>
      <c r="D37" s="12" t="s">
        <v>23</v>
      </c>
      <c r="E37" s="13">
        <v>461</v>
      </c>
      <c r="F37" s="13">
        <v>158</v>
      </c>
      <c r="G37" s="13">
        <f>344+29+175</f>
        <v>548</v>
      </c>
      <c r="H37" s="123" t="s">
        <v>100</v>
      </c>
    </row>
    <row r="38" spans="1:8" x14ac:dyDescent="0.25">
      <c r="A38" s="6" t="s">
        <v>2</v>
      </c>
      <c r="B38" s="6">
        <v>6061020402</v>
      </c>
      <c r="C38" s="7">
        <v>204.02</v>
      </c>
      <c r="D38" s="12" t="s">
        <v>23</v>
      </c>
      <c r="E38" s="13">
        <v>38</v>
      </c>
      <c r="F38" s="13">
        <f>99+6+29</f>
        <v>134</v>
      </c>
      <c r="G38" s="13">
        <f>11+8+22</f>
        <v>41</v>
      </c>
      <c r="H38" s="123" t="s">
        <v>100</v>
      </c>
    </row>
    <row r="39" spans="1:8" x14ac:dyDescent="0.25">
      <c r="A39" s="6" t="s">
        <v>2</v>
      </c>
      <c r="B39" s="6">
        <v>6061020501</v>
      </c>
      <c r="C39" s="7">
        <v>205.01</v>
      </c>
      <c r="D39" s="12" t="s">
        <v>24</v>
      </c>
      <c r="E39" s="13">
        <v>76</v>
      </c>
      <c r="F39" s="13">
        <f>325+30+12</f>
        <v>367</v>
      </c>
      <c r="G39" s="13">
        <f>47+10+36</f>
        <v>93</v>
      </c>
      <c r="H39" s="123" t="s">
        <v>100</v>
      </c>
    </row>
    <row r="40" spans="1:8" x14ac:dyDescent="0.25">
      <c r="A40" s="6" t="s">
        <v>2</v>
      </c>
      <c r="B40" s="6">
        <v>6061020502</v>
      </c>
      <c r="C40" s="7">
        <v>205.02</v>
      </c>
      <c r="D40" s="12" t="s">
        <v>23</v>
      </c>
      <c r="E40" s="13">
        <v>87</v>
      </c>
      <c r="F40" s="13">
        <v>157</v>
      </c>
      <c r="G40" s="13">
        <v>103</v>
      </c>
      <c r="H40" s="123" t="s">
        <v>100</v>
      </c>
    </row>
    <row r="41" spans="1:8" x14ac:dyDescent="0.25">
      <c r="A41" s="6" t="s">
        <v>2</v>
      </c>
      <c r="B41" s="6">
        <v>6061020601</v>
      </c>
      <c r="C41" s="7">
        <v>206.01</v>
      </c>
      <c r="D41" s="12" t="s">
        <v>25</v>
      </c>
      <c r="E41" s="13">
        <v>76</v>
      </c>
      <c r="F41" s="13">
        <v>108</v>
      </c>
      <c r="G41" s="13">
        <v>33</v>
      </c>
      <c r="H41" s="123" t="s">
        <v>100</v>
      </c>
    </row>
    <row r="42" spans="1:8" x14ac:dyDescent="0.25">
      <c r="A42" s="6" t="s">
        <v>2</v>
      </c>
      <c r="B42" s="6">
        <v>6061020602</v>
      </c>
      <c r="C42" s="7">
        <v>206.02</v>
      </c>
      <c r="D42" s="12" t="s">
        <v>26</v>
      </c>
      <c r="E42" s="13">
        <v>482</v>
      </c>
      <c r="F42" s="13">
        <f>386+11+95</f>
        <v>492</v>
      </c>
      <c r="G42" s="13">
        <f>27+12+46</f>
        <v>85</v>
      </c>
      <c r="H42" s="123" t="s">
        <v>147</v>
      </c>
    </row>
    <row r="43" spans="1:8" x14ac:dyDescent="0.25">
      <c r="A43" s="6" t="s">
        <v>2</v>
      </c>
      <c r="B43" s="6">
        <v>6061020604</v>
      </c>
      <c r="C43" s="7">
        <v>206.04</v>
      </c>
      <c r="D43" s="12" t="s">
        <v>25</v>
      </c>
      <c r="E43" s="13">
        <v>226</v>
      </c>
      <c r="F43" s="13">
        <f>172+7+1</f>
        <v>180</v>
      </c>
      <c r="G43" s="13">
        <f>10+21+307</f>
        <v>338</v>
      </c>
      <c r="H43" s="123" t="s">
        <v>100</v>
      </c>
    </row>
    <row r="44" spans="1:8" x14ac:dyDescent="0.25">
      <c r="A44" s="6" t="s">
        <v>2</v>
      </c>
      <c r="B44" s="6">
        <v>6061020605</v>
      </c>
      <c r="C44" s="7">
        <v>206.05</v>
      </c>
      <c r="D44" s="12" t="s">
        <v>25</v>
      </c>
      <c r="E44" s="13">
        <v>363</v>
      </c>
      <c r="F44" s="13">
        <f>129+11+9</f>
        <v>149</v>
      </c>
      <c r="G44" s="13">
        <f>108+79</f>
        <v>187</v>
      </c>
      <c r="H44" s="123" t="s">
        <v>100</v>
      </c>
    </row>
    <row r="45" spans="1:8" x14ac:dyDescent="0.25">
      <c r="A45" s="6" t="s">
        <v>2</v>
      </c>
      <c r="B45" s="6">
        <v>6061020606</v>
      </c>
      <c r="C45" s="7">
        <v>206.06</v>
      </c>
      <c r="D45" s="12" t="s">
        <v>25</v>
      </c>
      <c r="E45" s="13">
        <v>50</v>
      </c>
      <c r="F45" s="13">
        <v>12</v>
      </c>
      <c r="G45" s="13">
        <v>77</v>
      </c>
      <c r="H45" s="123" t="s">
        <v>100</v>
      </c>
    </row>
    <row r="46" spans="1:8" x14ac:dyDescent="0.25">
      <c r="A46" s="6" t="s">
        <v>2</v>
      </c>
      <c r="B46" s="6">
        <v>6061020710</v>
      </c>
      <c r="C46" s="7">
        <v>207.1</v>
      </c>
      <c r="D46" s="12" t="s">
        <v>27</v>
      </c>
      <c r="E46" s="13">
        <v>14</v>
      </c>
      <c r="F46" s="13">
        <v>36</v>
      </c>
      <c r="G46" s="13">
        <v>11</v>
      </c>
      <c r="H46" s="123" t="s">
        <v>100</v>
      </c>
    </row>
    <row r="47" spans="1:8" x14ac:dyDescent="0.25">
      <c r="A47" s="6" t="s">
        <v>2</v>
      </c>
      <c r="B47" s="6">
        <v>6061020711</v>
      </c>
      <c r="C47" s="7">
        <v>207.11</v>
      </c>
      <c r="D47" s="12" t="s">
        <v>27</v>
      </c>
      <c r="E47" s="13">
        <v>1394</v>
      </c>
      <c r="F47" s="13">
        <f>488+47</f>
        <v>535</v>
      </c>
      <c r="G47" s="13">
        <f>159+194+75</f>
        <v>428</v>
      </c>
      <c r="H47" s="123" t="s">
        <v>149</v>
      </c>
    </row>
    <row r="48" spans="1:8" x14ac:dyDescent="0.25">
      <c r="A48" s="6" t="s">
        <v>2</v>
      </c>
      <c r="B48" s="6">
        <v>6061020712</v>
      </c>
      <c r="C48" s="7">
        <v>207.12</v>
      </c>
      <c r="D48" s="12" t="s">
        <v>27</v>
      </c>
      <c r="E48" s="13">
        <v>371</v>
      </c>
      <c r="F48" s="13">
        <v>68</v>
      </c>
      <c r="G48" s="13">
        <v>67</v>
      </c>
      <c r="H48" s="123" t="s">
        <v>149</v>
      </c>
    </row>
    <row r="49" spans="1:8" x14ac:dyDescent="0.25">
      <c r="A49" s="6" t="s">
        <v>2</v>
      </c>
      <c r="B49" s="6">
        <v>6061020713</v>
      </c>
      <c r="C49" s="7">
        <v>207.13</v>
      </c>
      <c r="D49" s="12" t="s">
        <v>27</v>
      </c>
      <c r="E49" s="13">
        <v>286</v>
      </c>
      <c r="F49" s="13">
        <f>78+55</f>
        <v>133</v>
      </c>
      <c r="G49" s="13">
        <f>85+41+2</f>
        <v>128</v>
      </c>
      <c r="H49" s="123" t="s">
        <v>100</v>
      </c>
    </row>
    <row r="50" spans="1:8" x14ac:dyDescent="0.25">
      <c r="A50" s="6" t="s">
        <v>2</v>
      </c>
      <c r="B50" s="6">
        <v>6061020714</v>
      </c>
      <c r="C50" s="7">
        <v>207.14</v>
      </c>
      <c r="D50" s="12" t="s">
        <v>27</v>
      </c>
      <c r="E50" s="13">
        <v>80</v>
      </c>
      <c r="F50" s="13">
        <v>56</v>
      </c>
      <c r="G50" s="13">
        <v>27</v>
      </c>
      <c r="H50" s="123" t="s">
        <v>100</v>
      </c>
    </row>
    <row r="51" spans="1:8" x14ac:dyDescent="0.25">
      <c r="A51" s="6" t="s">
        <v>2</v>
      </c>
      <c r="B51" s="6">
        <v>6061020715</v>
      </c>
      <c r="C51" s="7">
        <v>207.15</v>
      </c>
      <c r="D51" s="12" t="s">
        <v>27</v>
      </c>
      <c r="E51" s="13">
        <v>18</v>
      </c>
      <c r="F51" s="13">
        <v>34</v>
      </c>
      <c r="G51" s="13">
        <v>3</v>
      </c>
      <c r="H51" s="123" t="s">
        <v>100</v>
      </c>
    </row>
    <row r="52" spans="1:8" x14ac:dyDescent="0.25">
      <c r="A52" s="6" t="s">
        <v>2</v>
      </c>
      <c r="B52" s="6">
        <v>6061020717</v>
      </c>
      <c r="C52" s="7">
        <v>207.17</v>
      </c>
      <c r="D52" s="12" t="s">
        <v>27</v>
      </c>
      <c r="E52" s="13">
        <v>4240</v>
      </c>
      <c r="F52" s="13">
        <f>336+173+93</f>
        <v>602</v>
      </c>
      <c r="G52" s="13">
        <f>222+543+201</f>
        <v>966</v>
      </c>
      <c r="H52" s="123" t="s">
        <v>150</v>
      </c>
    </row>
    <row r="53" spans="1:8" x14ac:dyDescent="0.25">
      <c r="A53" s="6" t="s">
        <v>2</v>
      </c>
      <c r="B53" s="6">
        <v>6061020805</v>
      </c>
      <c r="C53" s="7">
        <v>208.05</v>
      </c>
      <c r="D53" s="12" t="s">
        <v>27</v>
      </c>
      <c r="E53" s="13">
        <v>1410</v>
      </c>
      <c r="F53" s="13">
        <f>241+7+27</f>
        <v>275</v>
      </c>
      <c r="G53" s="13">
        <f>34+127+43</f>
        <v>204</v>
      </c>
      <c r="H53" s="123" t="s">
        <v>150</v>
      </c>
    </row>
    <row r="54" spans="1:8" x14ac:dyDescent="0.25">
      <c r="A54" s="6" t="s">
        <v>2</v>
      </c>
      <c r="B54" s="6">
        <v>6061020806</v>
      </c>
      <c r="C54" s="7">
        <v>208.06</v>
      </c>
      <c r="D54" s="12" t="s">
        <v>27</v>
      </c>
      <c r="E54" s="13">
        <v>701</v>
      </c>
      <c r="F54" s="13">
        <f>18+5+22</f>
        <v>45</v>
      </c>
      <c r="G54" s="13">
        <f>77+81+82</f>
        <v>240</v>
      </c>
      <c r="H54" s="123" t="s">
        <v>100</v>
      </c>
    </row>
    <row r="55" spans="1:8" x14ac:dyDescent="0.25">
      <c r="A55" s="6" t="s">
        <v>2</v>
      </c>
      <c r="B55" s="6">
        <v>6061020901</v>
      </c>
      <c r="C55" s="7">
        <v>209.01</v>
      </c>
      <c r="D55" s="12" t="s">
        <v>27</v>
      </c>
      <c r="E55" s="13">
        <v>366</v>
      </c>
      <c r="F55" s="13">
        <f>246+78+200</f>
        <v>524</v>
      </c>
      <c r="G55" s="13">
        <f>59+98+134</f>
        <v>291</v>
      </c>
      <c r="H55" s="123" t="s">
        <v>100</v>
      </c>
    </row>
    <row r="56" spans="1:8" x14ac:dyDescent="0.25">
      <c r="A56" s="6" t="s">
        <v>2</v>
      </c>
      <c r="B56" s="6">
        <v>6061020908</v>
      </c>
      <c r="C56" s="7">
        <v>209.08</v>
      </c>
      <c r="D56" s="12" t="s">
        <v>27</v>
      </c>
      <c r="E56" s="13">
        <v>610</v>
      </c>
      <c r="F56" s="13">
        <f>907+186+75</f>
        <v>1168</v>
      </c>
      <c r="G56" s="13">
        <f>73+119+197</f>
        <v>389</v>
      </c>
      <c r="H56" s="123" t="s">
        <v>100</v>
      </c>
    </row>
    <row r="57" spans="1:8" x14ac:dyDescent="0.25">
      <c r="A57" s="6" t="s">
        <v>2</v>
      </c>
      <c r="B57" s="6">
        <v>6061021003</v>
      </c>
      <c r="C57" s="7">
        <v>210.03</v>
      </c>
      <c r="D57" s="12" t="s">
        <v>27</v>
      </c>
      <c r="E57" s="13">
        <v>3266</v>
      </c>
      <c r="F57" s="13">
        <f>251+122+43</f>
        <v>416</v>
      </c>
      <c r="G57" s="13">
        <f>346+77+92</f>
        <v>515</v>
      </c>
      <c r="H57" s="123" t="s">
        <v>148</v>
      </c>
    </row>
    <row r="58" spans="1:8" x14ac:dyDescent="0.25">
      <c r="A58" s="6" t="s">
        <v>2</v>
      </c>
      <c r="B58" s="6">
        <v>6061021034</v>
      </c>
      <c r="C58" s="7">
        <v>210.34</v>
      </c>
      <c r="D58" s="12" t="s">
        <v>27</v>
      </c>
      <c r="E58" s="13">
        <v>536</v>
      </c>
      <c r="F58" s="13">
        <f>837+266+14</f>
        <v>1117</v>
      </c>
      <c r="G58" s="13">
        <f>298+144+529</f>
        <v>971</v>
      </c>
      <c r="H58" s="123" t="s">
        <v>100</v>
      </c>
    </row>
    <row r="59" spans="1:8" x14ac:dyDescent="0.25">
      <c r="A59" s="6" t="s">
        <v>2</v>
      </c>
      <c r="B59" s="6">
        <v>6061021035</v>
      </c>
      <c r="C59" s="7">
        <v>210.35</v>
      </c>
      <c r="D59" s="12" t="s">
        <v>27</v>
      </c>
      <c r="E59" s="13">
        <v>68</v>
      </c>
      <c r="F59" s="13">
        <f>43+2</f>
        <v>45</v>
      </c>
      <c r="G59" s="13">
        <f>23+5+38</f>
        <v>66</v>
      </c>
      <c r="H59" s="123" t="s">
        <v>100</v>
      </c>
    </row>
    <row r="60" spans="1:8" x14ac:dyDescent="0.25">
      <c r="A60" s="6" t="s">
        <v>2</v>
      </c>
      <c r="B60" s="6">
        <v>6061021037</v>
      </c>
      <c r="C60" s="7">
        <v>210.37</v>
      </c>
      <c r="D60" s="12" t="s">
        <v>27</v>
      </c>
      <c r="E60" s="13">
        <v>52</v>
      </c>
      <c r="F60" s="13">
        <f>540+13</f>
        <v>553</v>
      </c>
      <c r="G60" s="13">
        <v>23</v>
      </c>
      <c r="H60" s="123" t="s">
        <v>100</v>
      </c>
    </row>
    <row r="61" spans="1:8" x14ac:dyDescent="0.25">
      <c r="A61" s="6" t="s">
        <v>2</v>
      </c>
      <c r="B61" s="6">
        <v>6061021038</v>
      </c>
      <c r="C61" s="7">
        <v>210.38</v>
      </c>
      <c r="D61" s="12" t="s">
        <v>27</v>
      </c>
      <c r="E61" s="13">
        <v>34</v>
      </c>
      <c r="F61" s="13">
        <v>49</v>
      </c>
      <c r="G61" s="13">
        <v>14</v>
      </c>
      <c r="H61" s="123" t="s">
        <v>100</v>
      </c>
    </row>
    <row r="62" spans="1:8" x14ac:dyDescent="0.25">
      <c r="A62" s="6" t="s">
        <v>2</v>
      </c>
      <c r="B62" s="6">
        <v>6061021039</v>
      </c>
      <c r="C62" s="7">
        <v>210.39</v>
      </c>
      <c r="D62" s="12" t="s">
        <v>27</v>
      </c>
      <c r="E62" s="13">
        <v>2</v>
      </c>
      <c r="F62" s="13">
        <v>10</v>
      </c>
      <c r="G62" s="13">
        <v>0</v>
      </c>
      <c r="H62" s="123" t="s">
        <v>100</v>
      </c>
    </row>
    <row r="63" spans="1:8" x14ac:dyDescent="0.25">
      <c r="A63" s="6" t="s">
        <v>2</v>
      </c>
      <c r="B63" s="6">
        <v>6061021040</v>
      </c>
      <c r="C63" s="7">
        <v>210.4</v>
      </c>
      <c r="D63" s="12" t="s">
        <v>27</v>
      </c>
      <c r="E63" s="13">
        <v>33</v>
      </c>
      <c r="F63" s="13">
        <v>0</v>
      </c>
      <c r="G63" s="13">
        <v>225</v>
      </c>
      <c r="H63" s="123" t="s">
        <v>100</v>
      </c>
    </row>
    <row r="64" spans="1:8" x14ac:dyDescent="0.25">
      <c r="A64" s="6" t="s">
        <v>2</v>
      </c>
      <c r="B64" s="6">
        <v>6061021043</v>
      </c>
      <c r="C64" s="7">
        <v>210.43</v>
      </c>
      <c r="D64" s="12" t="s">
        <v>27</v>
      </c>
      <c r="E64" s="13">
        <v>1026</v>
      </c>
      <c r="F64" s="13">
        <f>173+23+337</f>
        <v>533</v>
      </c>
      <c r="G64" s="13">
        <f>249+1464+476</f>
        <v>2189</v>
      </c>
      <c r="H64" s="123" t="s">
        <v>99</v>
      </c>
    </row>
    <row r="65" spans="1:8" x14ac:dyDescent="0.25">
      <c r="A65" s="6" t="s">
        <v>2</v>
      </c>
      <c r="B65" s="6">
        <v>6061021044</v>
      </c>
      <c r="C65" s="7">
        <v>210.44</v>
      </c>
      <c r="D65" s="12" t="s">
        <v>27</v>
      </c>
      <c r="E65" s="13">
        <v>48</v>
      </c>
      <c r="F65" s="13">
        <v>16</v>
      </c>
      <c r="G65" s="13">
        <v>43</v>
      </c>
      <c r="H65" s="123" t="s">
        <v>100</v>
      </c>
    </row>
    <row r="66" spans="1:8" x14ac:dyDescent="0.25">
      <c r="A66" s="6" t="s">
        <v>2</v>
      </c>
      <c r="B66" s="6">
        <v>6061021045</v>
      </c>
      <c r="C66" s="7">
        <v>210.45</v>
      </c>
      <c r="D66" s="12" t="s">
        <v>27</v>
      </c>
      <c r="E66" s="13">
        <v>78</v>
      </c>
      <c r="F66" s="13">
        <f>92+1</f>
        <v>93</v>
      </c>
      <c r="G66" s="13">
        <f>23+44</f>
        <v>67</v>
      </c>
      <c r="H66" s="123" t="s">
        <v>100</v>
      </c>
    </row>
    <row r="67" spans="1:8" x14ac:dyDescent="0.25">
      <c r="A67" s="6" t="s">
        <v>2</v>
      </c>
      <c r="B67" s="6">
        <v>6061021046</v>
      </c>
      <c r="C67" s="7">
        <v>210.46</v>
      </c>
      <c r="D67" s="12" t="s">
        <v>27</v>
      </c>
      <c r="E67" s="13">
        <v>78</v>
      </c>
      <c r="F67" s="13">
        <v>19</v>
      </c>
      <c r="G67" s="13">
        <v>69</v>
      </c>
      <c r="H67" s="123" t="s">
        <v>98</v>
      </c>
    </row>
    <row r="68" spans="1:8" x14ac:dyDescent="0.25">
      <c r="A68" s="6" t="s">
        <v>2</v>
      </c>
      <c r="B68" s="6">
        <v>6061021103</v>
      </c>
      <c r="C68" s="7">
        <v>211.03</v>
      </c>
      <c r="D68" s="12" t="s">
        <v>28</v>
      </c>
      <c r="E68" s="13">
        <v>1199</v>
      </c>
      <c r="F68" s="13">
        <f>631+300+457</f>
        <v>1388</v>
      </c>
      <c r="G68" s="13">
        <f>318+70+158</f>
        <v>546</v>
      </c>
      <c r="H68" s="123" t="s">
        <v>99</v>
      </c>
    </row>
    <row r="69" spans="1:8" x14ac:dyDescent="0.25">
      <c r="A69" s="6" t="s">
        <v>2</v>
      </c>
      <c r="B69" s="6">
        <v>6061021106</v>
      </c>
      <c r="C69" s="7">
        <v>211.06</v>
      </c>
      <c r="D69" s="12" t="s">
        <v>28</v>
      </c>
      <c r="E69" s="13">
        <v>67</v>
      </c>
      <c r="F69" s="13">
        <v>28</v>
      </c>
      <c r="G69" s="13">
        <v>50</v>
      </c>
      <c r="H69" s="123" t="s">
        <v>100</v>
      </c>
    </row>
    <row r="70" spans="1:8" x14ac:dyDescent="0.25">
      <c r="A70" s="6" t="s">
        <v>2</v>
      </c>
      <c r="B70" s="6">
        <v>6061021108</v>
      </c>
      <c r="C70" s="7">
        <v>211.08</v>
      </c>
      <c r="D70" s="12" t="s">
        <v>28</v>
      </c>
      <c r="E70" s="13">
        <v>303</v>
      </c>
      <c r="F70" s="13">
        <v>9</v>
      </c>
      <c r="G70" s="13">
        <v>105</v>
      </c>
      <c r="H70" s="124" t="s">
        <v>100</v>
      </c>
    </row>
    <row r="71" spans="1:8" x14ac:dyDescent="0.25">
      <c r="A71" s="6" t="s">
        <v>2</v>
      </c>
      <c r="B71" s="6">
        <v>6061021109</v>
      </c>
      <c r="C71" s="7">
        <v>211.09</v>
      </c>
      <c r="D71" s="12" t="s">
        <v>28</v>
      </c>
      <c r="E71" s="13">
        <v>224</v>
      </c>
      <c r="F71" s="13">
        <v>128</v>
      </c>
      <c r="G71" s="13">
        <v>27</v>
      </c>
      <c r="H71" s="123" t="s">
        <v>100</v>
      </c>
    </row>
    <row r="72" spans="1:8" x14ac:dyDescent="0.25">
      <c r="A72" s="6" t="s">
        <v>2</v>
      </c>
      <c r="B72" s="6">
        <v>6061021122</v>
      </c>
      <c r="C72" s="7">
        <v>211.22</v>
      </c>
      <c r="D72" s="12" t="s">
        <v>28</v>
      </c>
      <c r="E72" s="13">
        <v>48</v>
      </c>
      <c r="F72" s="13">
        <v>28</v>
      </c>
      <c r="G72" s="13">
        <v>33</v>
      </c>
      <c r="H72" s="123" t="s">
        <v>101</v>
      </c>
    </row>
    <row r="73" spans="1:8" x14ac:dyDescent="0.25">
      <c r="A73" s="6" t="s">
        <v>2</v>
      </c>
      <c r="B73" s="6">
        <v>6061021123</v>
      </c>
      <c r="C73" s="7">
        <v>211.23</v>
      </c>
      <c r="D73" s="12" t="s">
        <v>28</v>
      </c>
      <c r="E73" s="13">
        <v>103</v>
      </c>
      <c r="F73" s="13">
        <v>81</v>
      </c>
      <c r="G73" s="13">
        <v>95</v>
      </c>
      <c r="H73" s="123" t="s">
        <v>100</v>
      </c>
    </row>
    <row r="74" spans="1:8" x14ac:dyDescent="0.25">
      <c r="A74" s="6" t="s">
        <v>2</v>
      </c>
      <c r="B74" s="6">
        <v>6061021128</v>
      </c>
      <c r="C74" s="7">
        <v>211.28</v>
      </c>
      <c r="D74" s="12" t="s">
        <v>28</v>
      </c>
      <c r="E74" s="13">
        <v>56</v>
      </c>
      <c r="F74" s="13">
        <v>15</v>
      </c>
      <c r="G74" s="13">
        <v>81</v>
      </c>
      <c r="H74" s="123" t="s">
        <v>100</v>
      </c>
    </row>
    <row r="75" spans="1:8" x14ac:dyDescent="0.25">
      <c r="A75" s="6" t="s">
        <v>2</v>
      </c>
      <c r="B75" s="6">
        <v>6061021129</v>
      </c>
      <c r="C75" s="7">
        <v>211.29</v>
      </c>
      <c r="D75" s="12" t="s">
        <v>28</v>
      </c>
      <c r="E75" s="13">
        <v>71</v>
      </c>
      <c r="F75" s="13">
        <v>50</v>
      </c>
      <c r="G75" s="13">
        <v>44</v>
      </c>
      <c r="H75" s="123" t="s">
        <v>100</v>
      </c>
    </row>
    <row r="76" spans="1:8" x14ac:dyDescent="0.25">
      <c r="A76" s="6" t="s">
        <v>2</v>
      </c>
      <c r="B76" s="6">
        <v>6061021130</v>
      </c>
      <c r="C76" s="7">
        <v>211.3</v>
      </c>
      <c r="D76" s="12" t="s">
        <v>28</v>
      </c>
      <c r="E76" s="13">
        <v>31</v>
      </c>
      <c r="F76" s="13">
        <v>9</v>
      </c>
      <c r="G76" s="13">
        <v>4</v>
      </c>
      <c r="H76" s="123" t="s">
        <v>100</v>
      </c>
    </row>
    <row r="77" spans="1:8" x14ac:dyDescent="0.25">
      <c r="A77" s="6" t="s">
        <v>2</v>
      </c>
      <c r="B77" s="6">
        <v>6061021131</v>
      </c>
      <c r="C77" s="7">
        <v>211.31</v>
      </c>
      <c r="D77" s="12" t="s">
        <v>28</v>
      </c>
      <c r="E77" s="13">
        <v>89</v>
      </c>
      <c r="F77" s="13">
        <v>85</v>
      </c>
      <c r="G77" s="13">
        <v>60</v>
      </c>
      <c r="H77" s="123" t="s">
        <v>100</v>
      </c>
    </row>
    <row r="78" spans="1:8" x14ac:dyDescent="0.25">
      <c r="A78" s="6" t="s">
        <v>2</v>
      </c>
      <c r="B78" s="6">
        <v>6061021203</v>
      </c>
      <c r="C78" s="7">
        <v>212.03</v>
      </c>
      <c r="D78" s="12" t="s">
        <v>26</v>
      </c>
      <c r="E78" s="13">
        <v>830</v>
      </c>
      <c r="F78" s="13">
        <f>1886+341+69+44</f>
        <v>2340</v>
      </c>
      <c r="G78" s="13">
        <f>124+44+334</f>
        <v>502</v>
      </c>
      <c r="H78" s="123" t="s">
        <v>102</v>
      </c>
    </row>
    <row r="79" spans="1:8" x14ac:dyDescent="0.25">
      <c r="A79" s="6" t="s">
        <v>2</v>
      </c>
      <c r="B79" s="6">
        <v>6061021204</v>
      </c>
      <c r="C79" s="7">
        <v>212.04</v>
      </c>
      <c r="D79" s="12" t="s">
        <v>29</v>
      </c>
      <c r="E79" s="13">
        <v>43</v>
      </c>
      <c r="F79" s="13">
        <f>9+241+11</f>
        <v>261</v>
      </c>
      <c r="G79" s="13">
        <v>53</v>
      </c>
      <c r="H79" s="123" t="s">
        <v>100</v>
      </c>
    </row>
    <row r="80" spans="1:8" x14ac:dyDescent="0.25">
      <c r="A80" s="6" t="s">
        <v>2</v>
      </c>
      <c r="B80" s="6">
        <v>6061021304</v>
      </c>
      <c r="C80" s="7">
        <v>213.04</v>
      </c>
      <c r="D80" s="12" t="s">
        <v>30</v>
      </c>
      <c r="E80" s="13">
        <v>241</v>
      </c>
      <c r="F80" s="13">
        <f>2+167+344+43</f>
        <v>556</v>
      </c>
      <c r="G80" s="13">
        <f>85+37</f>
        <v>122</v>
      </c>
      <c r="H80" s="123" t="s">
        <v>165</v>
      </c>
    </row>
    <row r="81" spans="1:8" x14ac:dyDescent="0.25">
      <c r="A81" s="6" t="s">
        <v>2</v>
      </c>
      <c r="B81" s="6">
        <v>6061021309</v>
      </c>
      <c r="C81" s="7">
        <v>213.09</v>
      </c>
      <c r="D81" s="12" t="s">
        <v>28</v>
      </c>
      <c r="E81" s="13">
        <v>501</v>
      </c>
      <c r="F81" s="13">
        <f>89+164+14</f>
        <v>267</v>
      </c>
      <c r="G81" s="13">
        <v>553</v>
      </c>
      <c r="H81" s="123" t="s">
        <v>101</v>
      </c>
    </row>
    <row r="82" spans="1:8" x14ac:dyDescent="0.25">
      <c r="A82" s="6" t="s">
        <v>2</v>
      </c>
      <c r="B82" s="6">
        <v>6061021322</v>
      </c>
      <c r="C82" s="7">
        <v>213.22</v>
      </c>
      <c r="D82" s="12" t="s">
        <v>27</v>
      </c>
      <c r="E82" s="13">
        <v>665</v>
      </c>
      <c r="F82" s="13">
        <f>52+1612+205+80</f>
        <v>1949</v>
      </c>
      <c r="G82" s="13">
        <f>105+341+68</f>
        <v>514</v>
      </c>
      <c r="H82" s="123" t="s">
        <v>103</v>
      </c>
    </row>
    <row r="83" spans="1:8" x14ac:dyDescent="0.25">
      <c r="A83" s="6" t="s">
        <v>2</v>
      </c>
      <c r="B83" s="6">
        <v>6061021401</v>
      </c>
      <c r="C83" s="7">
        <v>214.01</v>
      </c>
      <c r="D83" s="12" t="s">
        <v>30</v>
      </c>
      <c r="E83" s="13">
        <v>267</v>
      </c>
      <c r="F83" s="13">
        <f>184+123</f>
        <v>307</v>
      </c>
      <c r="G83" s="13">
        <v>97</v>
      </c>
      <c r="H83" s="123" t="s">
        <v>103</v>
      </c>
    </row>
    <row r="84" spans="1:8" x14ac:dyDescent="0.25">
      <c r="A84" s="6" t="s">
        <v>2</v>
      </c>
      <c r="B84" s="6">
        <v>6061021403</v>
      </c>
      <c r="C84" s="7">
        <v>214.03</v>
      </c>
      <c r="D84" s="12" t="s">
        <v>30</v>
      </c>
      <c r="E84" s="13">
        <v>123</v>
      </c>
      <c r="F84" s="13">
        <f>186+161</f>
        <v>347</v>
      </c>
      <c r="G84" s="13">
        <v>70</v>
      </c>
      <c r="H84" s="123" t="s">
        <v>103</v>
      </c>
    </row>
    <row r="85" spans="1:8" x14ac:dyDescent="0.25">
      <c r="A85" s="6" t="s">
        <v>2</v>
      </c>
      <c r="B85" s="6">
        <v>6061021501</v>
      </c>
      <c r="C85" s="7">
        <v>215.01</v>
      </c>
      <c r="D85" s="12" t="s">
        <v>23</v>
      </c>
      <c r="E85" s="13">
        <v>535</v>
      </c>
      <c r="F85" s="13">
        <f>199+167+13</f>
        <v>379</v>
      </c>
      <c r="G85" s="13">
        <f>124+109+18</f>
        <v>251</v>
      </c>
      <c r="H85" s="123" t="s">
        <v>100</v>
      </c>
    </row>
    <row r="86" spans="1:8" x14ac:dyDescent="0.25">
      <c r="A86" s="6" t="s">
        <v>2</v>
      </c>
      <c r="B86" s="6">
        <v>6061021502</v>
      </c>
      <c r="C86" s="7">
        <v>215.02</v>
      </c>
      <c r="D86" s="12" t="s">
        <v>23</v>
      </c>
      <c r="E86" s="13">
        <v>417</v>
      </c>
      <c r="F86" s="13">
        <f>272+66</f>
        <v>338</v>
      </c>
      <c r="G86" s="13">
        <v>89</v>
      </c>
      <c r="H86" s="123" t="s">
        <v>151</v>
      </c>
    </row>
    <row r="87" spans="1:8" x14ac:dyDescent="0.25">
      <c r="A87" s="6" t="s">
        <v>2</v>
      </c>
      <c r="B87" s="6">
        <v>6061021603</v>
      </c>
      <c r="C87" s="7">
        <v>216.03</v>
      </c>
      <c r="D87" s="12" t="s">
        <v>23</v>
      </c>
      <c r="E87" s="13">
        <v>454</v>
      </c>
      <c r="F87" s="13">
        <v>41</v>
      </c>
      <c r="G87" s="13">
        <v>104</v>
      </c>
      <c r="H87" s="123" t="s">
        <v>100</v>
      </c>
    </row>
    <row r="88" spans="1:8" x14ac:dyDescent="0.25">
      <c r="A88" s="6" t="s">
        <v>2</v>
      </c>
      <c r="B88" s="6">
        <v>6061021604</v>
      </c>
      <c r="C88" s="7">
        <v>216.04</v>
      </c>
      <c r="D88" s="12" t="s">
        <v>23</v>
      </c>
      <c r="E88" s="13">
        <v>26</v>
      </c>
      <c r="F88" s="13">
        <v>53</v>
      </c>
      <c r="G88" s="13">
        <v>19</v>
      </c>
      <c r="H88" s="123" t="s">
        <v>100</v>
      </c>
    </row>
    <row r="89" spans="1:8" x14ac:dyDescent="0.25">
      <c r="A89" s="6" t="s">
        <v>2</v>
      </c>
      <c r="B89" s="6">
        <v>6061021801</v>
      </c>
      <c r="C89" s="7">
        <v>218.01</v>
      </c>
      <c r="D89" s="12" t="s">
        <v>23</v>
      </c>
      <c r="E89" s="13">
        <v>29</v>
      </c>
      <c r="F89" s="13">
        <v>44</v>
      </c>
      <c r="G89" s="13">
        <v>7</v>
      </c>
      <c r="H89" s="123" t="s">
        <v>100</v>
      </c>
    </row>
    <row r="90" spans="1:8" x14ac:dyDescent="0.25">
      <c r="A90" s="6" t="s">
        <v>2</v>
      </c>
      <c r="B90" s="6">
        <v>6061021802</v>
      </c>
      <c r="C90" s="7">
        <v>218.02</v>
      </c>
      <c r="D90" s="12" t="s">
        <v>23</v>
      </c>
      <c r="E90" s="13">
        <v>1052</v>
      </c>
      <c r="F90" s="13">
        <f>424+484+100</f>
        <v>1008</v>
      </c>
      <c r="G90" s="13">
        <f>125+226+518</f>
        <v>869</v>
      </c>
      <c r="H90" s="123" t="s">
        <v>104</v>
      </c>
    </row>
    <row r="91" spans="1:8" x14ac:dyDescent="0.25">
      <c r="A91" s="6" t="s">
        <v>2</v>
      </c>
      <c r="B91" s="6">
        <v>6061021901</v>
      </c>
      <c r="C91" s="7">
        <v>219.01</v>
      </c>
      <c r="D91" s="12" t="s">
        <v>31</v>
      </c>
      <c r="E91" s="13">
        <v>133</v>
      </c>
      <c r="F91" s="13">
        <v>142</v>
      </c>
      <c r="G91" s="13">
        <v>14</v>
      </c>
      <c r="H91" s="123" t="s">
        <v>100</v>
      </c>
    </row>
    <row r="92" spans="1:8" x14ac:dyDescent="0.25">
      <c r="A92" s="6" t="s">
        <v>2</v>
      </c>
      <c r="B92" s="6">
        <v>6061021902</v>
      </c>
      <c r="C92" s="7">
        <v>219.02</v>
      </c>
      <c r="D92" s="12" t="s">
        <v>32</v>
      </c>
      <c r="E92" s="13">
        <v>69</v>
      </c>
      <c r="F92" s="13">
        <f>17+83+11+11</f>
        <v>122</v>
      </c>
      <c r="G92" s="13">
        <v>72</v>
      </c>
      <c r="H92" s="123" t="s">
        <v>100</v>
      </c>
    </row>
    <row r="93" spans="1:8" x14ac:dyDescent="0.25">
      <c r="A93" s="6" t="s">
        <v>2</v>
      </c>
      <c r="B93" s="6">
        <v>6061022002</v>
      </c>
      <c r="C93" s="7">
        <v>220.02</v>
      </c>
      <c r="D93" s="12" t="s">
        <v>33</v>
      </c>
      <c r="E93" s="13">
        <v>95</v>
      </c>
      <c r="F93" s="13">
        <v>121</v>
      </c>
      <c r="G93" s="13">
        <v>54</v>
      </c>
      <c r="H93" s="123" t="s">
        <v>100</v>
      </c>
    </row>
    <row r="94" spans="1:8" x14ac:dyDescent="0.25">
      <c r="A94" s="6" t="s">
        <v>2</v>
      </c>
      <c r="B94" s="6">
        <v>6061022011</v>
      </c>
      <c r="C94" s="7">
        <v>220.11</v>
      </c>
      <c r="D94" s="12" t="s">
        <v>34</v>
      </c>
      <c r="E94" s="13">
        <v>513</v>
      </c>
      <c r="F94" s="13">
        <f>96+16+5</f>
        <v>117</v>
      </c>
      <c r="G94" s="13">
        <f>70+1+56</f>
        <v>127</v>
      </c>
      <c r="H94" s="123" t="s">
        <v>105</v>
      </c>
    </row>
    <row r="95" spans="1:8" x14ac:dyDescent="0.25">
      <c r="A95" s="6" t="s">
        <v>2</v>
      </c>
      <c r="B95" s="6">
        <v>6061022013</v>
      </c>
      <c r="C95" s="7">
        <v>220.13</v>
      </c>
      <c r="D95" s="12" t="s">
        <v>35</v>
      </c>
      <c r="E95" s="13">
        <v>93</v>
      </c>
      <c r="F95" s="13">
        <v>18</v>
      </c>
      <c r="G95" s="13">
        <v>4</v>
      </c>
      <c r="H95" s="123" t="s">
        <v>108</v>
      </c>
    </row>
    <row r="96" spans="1:8" x14ac:dyDescent="0.25">
      <c r="A96" s="6" t="s">
        <v>2</v>
      </c>
      <c r="B96" s="6">
        <v>6061022014</v>
      </c>
      <c r="C96" s="7">
        <v>220.14</v>
      </c>
      <c r="D96" s="12" t="s">
        <v>36</v>
      </c>
      <c r="E96" s="13">
        <v>1090</v>
      </c>
      <c r="F96" s="13">
        <v>167</v>
      </c>
      <c r="G96" s="13">
        <f>25+97+11</f>
        <v>133</v>
      </c>
      <c r="H96" s="123" t="s">
        <v>152</v>
      </c>
    </row>
    <row r="97" spans="1:8" x14ac:dyDescent="0.25">
      <c r="A97" s="6" t="s">
        <v>2</v>
      </c>
      <c r="B97" s="6">
        <v>6061022400</v>
      </c>
      <c r="C97" s="7">
        <v>224</v>
      </c>
      <c r="D97" s="12" t="s">
        <v>27</v>
      </c>
      <c r="E97" s="13">
        <v>224</v>
      </c>
      <c r="F97" s="13">
        <f>62+19</f>
        <v>81</v>
      </c>
      <c r="G97" s="13">
        <v>19</v>
      </c>
      <c r="H97" s="123" t="s">
        <v>100</v>
      </c>
    </row>
    <row r="98" spans="1:8" x14ac:dyDescent="0.25">
      <c r="A98" s="6" t="s">
        <v>2</v>
      </c>
      <c r="B98" s="6">
        <v>6061022500</v>
      </c>
      <c r="C98" s="7">
        <v>225</v>
      </c>
      <c r="D98" s="12" t="s">
        <v>27</v>
      </c>
      <c r="E98" s="13">
        <v>42</v>
      </c>
      <c r="F98" s="13">
        <v>72</v>
      </c>
      <c r="G98" s="13">
        <v>14</v>
      </c>
      <c r="H98" s="123" t="s">
        <v>100</v>
      </c>
    </row>
    <row r="99" spans="1:8" x14ac:dyDescent="0.25">
      <c r="A99" s="6" t="s">
        <v>2</v>
      </c>
      <c r="B99" s="6">
        <v>6061022600</v>
      </c>
      <c r="C99" s="7">
        <v>226</v>
      </c>
      <c r="D99" s="12" t="s">
        <v>27</v>
      </c>
      <c r="E99" s="13">
        <v>710</v>
      </c>
      <c r="F99" s="13">
        <v>20</v>
      </c>
      <c r="G99" s="13">
        <v>100</v>
      </c>
      <c r="H99" s="123" t="s">
        <v>100</v>
      </c>
    </row>
    <row r="100" spans="1:8" x14ac:dyDescent="0.25">
      <c r="A100" s="6" t="s">
        <v>2</v>
      </c>
      <c r="B100" s="6">
        <v>6061022800</v>
      </c>
      <c r="C100" s="7">
        <v>228</v>
      </c>
      <c r="D100" s="12" t="s">
        <v>27</v>
      </c>
      <c r="E100" s="13">
        <v>1202</v>
      </c>
      <c r="F100" s="13">
        <v>31</v>
      </c>
      <c r="G100" s="13">
        <v>317</v>
      </c>
      <c r="H100" s="123" t="s">
        <v>153</v>
      </c>
    </row>
    <row r="101" spans="1:8" x14ac:dyDescent="0.25">
      <c r="A101" s="6" t="s">
        <v>2</v>
      </c>
      <c r="B101" s="6">
        <v>6061022900</v>
      </c>
      <c r="C101" s="7">
        <v>229</v>
      </c>
      <c r="D101" s="12" t="s">
        <v>28</v>
      </c>
      <c r="E101" s="13">
        <v>96</v>
      </c>
      <c r="F101" s="13">
        <v>18</v>
      </c>
      <c r="G101" s="13">
        <v>65</v>
      </c>
      <c r="H101" s="123" t="s">
        <v>106</v>
      </c>
    </row>
    <row r="102" spans="1:8" x14ac:dyDescent="0.25">
      <c r="A102" s="6" t="s">
        <v>2</v>
      </c>
      <c r="B102" s="6">
        <v>6061023000</v>
      </c>
      <c r="C102" s="7">
        <v>230</v>
      </c>
      <c r="D102" s="12" t="s">
        <v>28</v>
      </c>
      <c r="E102" s="13">
        <v>1216</v>
      </c>
      <c r="F102" s="13">
        <f>90+314+114+7</f>
        <v>525</v>
      </c>
      <c r="G102" s="13">
        <f>65+108+527</f>
        <v>700</v>
      </c>
      <c r="H102" s="123" t="s">
        <v>153</v>
      </c>
    </row>
    <row r="103" spans="1:8" x14ac:dyDescent="0.25">
      <c r="A103" s="6" t="s">
        <v>2</v>
      </c>
      <c r="B103" s="6">
        <v>6061023100</v>
      </c>
      <c r="C103" s="7">
        <v>231</v>
      </c>
      <c r="D103" s="12" t="s">
        <v>27</v>
      </c>
      <c r="E103" s="13">
        <v>350</v>
      </c>
      <c r="F103" s="13">
        <f>556+58+5</f>
        <v>619</v>
      </c>
      <c r="G103" s="13">
        <f>76+101+46</f>
        <v>223</v>
      </c>
      <c r="H103" s="123" t="s">
        <v>103</v>
      </c>
    </row>
    <row r="104" spans="1:8" x14ac:dyDescent="0.25">
      <c r="A104" s="6" t="s">
        <v>2</v>
      </c>
      <c r="B104" s="6">
        <v>6061023200</v>
      </c>
      <c r="C104" s="7">
        <v>232</v>
      </c>
      <c r="D104" s="12" t="s">
        <v>30</v>
      </c>
      <c r="E104" s="13">
        <v>203</v>
      </c>
      <c r="F104" s="13">
        <v>25</v>
      </c>
      <c r="G104" s="13">
        <v>3</v>
      </c>
      <c r="H104" s="123" t="s">
        <v>103</v>
      </c>
    </row>
    <row r="105" spans="1:8" x14ac:dyDescent="0.25">
      <c r="A105" s="6" t="s">
        <v>2</v>
      </c>
      <c r="B105" s="6">
        <v>6061023300</v>
      </c>
      <c r="C105" s="7">
        <v>233</v>
      </c>
      <c r="D105" s="12" t="s">
        <v>30</v>
      </c>
      <c r="E105" s="13">
        <v>161</v>
      </c>
      <c r="F105" s="13">
        <v>67</v>
      </c>
      <c r="G105" s="13">
        <v>18</v>
      </c>
      <c r="H105" s="123" t="s">
        <v>103</v>
      </c>
    </row>
    <row r="106" spans="1:8" x14ac:dyDescent="0.25">
      <c r="A106" s="6" t="s">
        <v>2</v>
      </c>
      <c r="B106" s="6">
        <v>6061023400</v>
      </c>
      <c r="C106" s="7">
        <v>234</v>
      </c>
      <c r="D106" s="12" t="s">
        <v>30</v>
      </c>
      <c r="E106" s="13">
        <v>221</v>
      </c>
      <c r="F106" s="13">
        <f>386+406+117</f>
        <v>909</v>
      </c>
      <c r="G106" s="13">
        <v>90</v>
      </c>
      <c r="H106" s="123" t="s">
        <v>103</v>
      </c>
    </row>
    <row r="107" spans="1:8" x14ac:dyDescent="0.25">
      <c r="A107" s="6" t="s">
        <v>2</v>
      </c>
      <c r="B107" s="6">
        <v>6061023500</v>
      </c>
      <c r="C107" s="7">
        <v>235</v>
      </c>
      <c r="D107" s="12" t="s">
        <v>30</v>
      </c>
      <c r="E107" s="13">
        <v>131</v>
      </c>
      <c r="F107" s="13">
        <v>83</v>
      </c>
      <c r="G107" s="13">
        <v>80</v>
      </c>
      <c r="H107" s="123" t="s">
        <v>101</v>
      </c>
    </row>
    <row r="108" spans="1:8" x14ac:dyDescent="0.25">
      <c r="A108" s="6" t="s">
        <v>2</v>
      </c>
      <c r="B108" s="6">
        <v>6061023600</v>
      </c>
      <c r="C108" s="7">
        <v>236</v>
      </c>
      <c r="D108" s="12" t="s">
        <v>30</v>
      </c>
      <c r="E108" s="13">
        <v>2</v>
      </c>
      <c r="F108" s="13">
        <v>6</v>
      </c>
      <c r="G108" s="13">
        <v>2</v>
      </c>
      <c r="H108" s="123" t="s">
        <v>103</v>
      </c>
    </row>
    <row r="109" spans="1:8" x14ac:dyDescent="0.25">
      <c r="A109" s="6" t="s">
        <v>2</v>
      </c>
      <c r="B109" s="6">
        <v>6061023700</v>
      </c>
      <c r="C109" s="7">
        <v>237</v>
      </c>
      <c r="D109" s="12" t="s">
        <v>30</v>
      </c>
      <c r="E109" s="13">
        <v>97</v>
      </c>
      <c r="F109" s="13">
        <v>6</v>
      </c>
      <c r="G109" s="13">
        <v>148</v>
      </c>
      <c r="H109" s="123" t="s">
        <v>103</v>
      </c>
    </row>
    <row r="110" spans="1:8" x14ac:dyDescent="0.25">
      <c r="A110" s="6" t="s">
        <v>2</v>
      </c>
      <c r="B110" s="6">
        <v>6061023800</v>
      </c>
      <c r="C110" s="7">
        <v>238</v>
      </c>
      <c r="D110" s="12" t="s">
        <v>30</v>
      </c>
      <c r="E110" s="13">
        <v>2</v>
      </c>
      <c r="F110" s="13">
        <v>3</v>
      </c>
      <c r="G110" s="13">
        <v>17</v>
      </c>
      <c r="H110" s="123" t="s">
        <v>107</v>
      </c>
    </row>
    <row r="111" spans="1:8" x14ac:dyDescent="0.25">
      <c r="A111" s="6" t="s">
        <v>2</v>
      </c>
      <c r="B111" s="6">
        <v>6061023900</v>
      </c>
      <c r="C111" s="7">
        <v>239</v>
      </c>
      <c r="D111" s="12" t="s">
        <v>30</v>
      </c>
      <c r="E111" s="13">
        <v>12</v>
      </c>
      <c r="F111" s="13">
        <v>12</v>
      </c>
      <c r="G111" s="13">
        <v>6</v>
      </c>
      <c r="H111" s="123" t="s">
        <v>103</v>
      </c>
    </row>
    <row r="112" spans="1:8" x14ac:dyDescent="0.25">
      <c r="A112" s="6" t="s">
        <v>3</v>
      </c>
      <c r="B112" s="6">
        <v>6067000100</v>
      </c>
      <c r="C112" s="7">
        <v>1</v>
      </c>
      <c r="D112" s="12" t="s">
        <v>3</v>
      </c>
      <c r="E112" s="13">
        <v>37</v>
      </c>
      <c r="F112" s="13">
        <v>11</v>
      </c>
      <c r="G112" s="13">
        <v>27</v>
      </c>
      <c r="H112" s="123" t="s">
        <v>108</v>
      </c>
    </row>
    <row r="113" spans="1:8" x14ac:dyDescent="0.25">
      <c r="A113" s="6" t="s">
        <v>3</v>
      </c>
      <c r="B113" s="6">
        <v>6067000200</v>
      </c>
      <c r="C113" s="7">
        <v>2</v>
      </c>
      <c r="D113" s="12" t="s">
        <v>3</v>
      </c>
      <c r="E113" s="13">
        <v>263</v>
      </c>
      <c r="F113" s="13">
        <v>17</v>
      </c>
      <c r="G113" s="13">
        <f>51+85</f>
        <v>136</v>
      </c>
      <c r="H113" s="123" t="s">
        <v>108</v>
      </c>
    </row>
    <row r="114" spans="1:8" x14ac:dyDescent="0.25">
      <c r="A114" s="6" t="s">
        <v>3</v>
      </c>
      <c r="B114" s="6">
        <v>6067000300</v>
      </c>
      <c r="C114" s="7">
        <v>3</v>
      </c>
      <c r="D114" s="12" t="s">
        <v>3</v>
      </c>
      <c r="E114" s="13">
        <v>114</v>
      </c>
      <c r="F114" s="13">
        <v>1</v>
      </c>
      <c r="G114" s="13">
        <f>151+62+4</f>
        <v>217</v>
      </c>
      <c r="H114" s="123" t="s">
        <v>103</v>
      </c>
    </row>
    <row r="115" spans="1:8" x14ac:dyDescent="0.25">
      <c r="A115" s="6" t="s">
        <v>3</v>
      </c>
      <c r="B115" s="6">
        <v>6067000400</v>
      </c>
      <c r="C115" s="7">
        <v>4</v>
      </c>
      <c r="D115" s="12" t="s">
        <v>3</v>
      </c>
      <c r="E115" s="13">
        <v>259</v>
      </c>
      <c r="F115" s="13">
        <f>354+16</f>
        <v>370</v>
      </c>
      <c r="G115" s="13">
        <f>66+43+36</f>
        <v>145</v>
      </c>
      <c r="H115" s="123" t="s">
        <v>108</v>
      </c>
    </row>
    <row r="116" spans="1:8" x14ac:dyDescent="0.25">
      <c r="A116" s="6" t="s">
        <v>3</v>
      </c>
      <c r="B116" s="6">
        <v>6067000500</v>
      </c>
      <c r="C116" s="7">
        <v>5</v>
      </c>
      <c r="D116" s="12" t="s">
        <v>3</v>
      </c>
      <c r="E116" s="13">
        <v>474</v>
      </c>
      <c r="F116" s="13">
        <f>228+1116+52</f>
        <v>1396</v>
      </c>
      <c r="G116" s="13">
        <v>252</v>
      </c>
      <c r="H116" s="123" t="s">
        <v>109</v>
      </c>
    </row>
    <row r="117" spans="1:8" x14ac:dyDescent="0.25">
      <c r="A117" s="6" t="s">
        <v>3</v>
      </c>
      <c r="B117" s="6">
        <v>6067000600</v>
      </c>
      <c r="C117" s="7">
        <v>6</v>
      </c>
      <c r="D117" s="12" t="s">
        <v>3</v>
      </c>
      <c r="E117" s="13">
        <v>227</v>
      </c>
      <c r="F117" s="13">
        <v>68</v>
      </c>
      <c r="G117" s="13">
        <v>51</v>
      </c>
      <c r="H117" s="123" t="s">
        <v>110</v>
      </c>
    </row>
    <row r="118" spans="1:8" x14ac:dyDescent="0.25">
      <c r="A118" s="6" t="s">
        <v>3</v>
      </c>
      <c r="B118" s="6">
        <v>6067000700</v>
      </c>
      <c r="C118" s="7">
        <v>7</v>
      </c>
      <c r="D118" s="12" t="s">
        <v>3</v>
      </c>
      <c r="E118" s="13">
        <v>1845</v>
      </c>
      <c r="F118" s="13">
        <f>17+85+20</f>
        <v>122</v>
      </c>
      <c r="G118" s="13">
        <f>221+227+7</f>
        <v>455</v>
      </c>
      <c r="H118" s="123" t="s">
        <v>111</v>
      </c>
    </row>
    <row r="119" spans="1:8" x14ac:dyDescent="0.25">
      <c r="A119" s="6" t="s">
        <v>3</v>
      </c>
      <c r="B119" s="6">
        <v>6067000800</v>
      </c>
      <c r="C119" s="7">
        <v>8</v>
      </c>
      <c r="D119" s="12" t="s">
        <v>3</v>
      </c>
      <c r="E119" s="13">
        <v>1453</v>
      </c>
      <c r="F119" s="13">
        <f>134+174+2</f>
        <v>310</v>
      </c>
      <c r="G119" s="13">
        <f>85+183+93</f>
        <v>361</v>
      </c>
      <c r="H119" s="123" t="s">
        <v>111</v>
      </c>
    </row>
    <row r="120" spans="1:8" x14ac:dyDescent="0.25">
      <c r="A120" s="6" t="s">
        <v>3</v>
      </c>
      <c r="B120" s="6">
        <v>6067001101</v>
      </c>
      <c r="C120" s="7">
        <v>11.01</v>
      </c>
      <c r="D120" s="12" t="s">
        <v>3</v>
      </c>
      <c r="E120" s="13">
        <v>11205</v>
      </c>
      <c r="F120" s="13">
        <f>386+311</f>
        <v>697</v>
      </c>
      <c r="G120" s="13">
        <f>553+260</f>
        <v>813</v>
      </c>
      <c r="H120" s="123" t="s">
        <v>112</v>
      </c>
    </row>
    <row r="121" spans="1:8" x14ac:dyDescent="0.25">
      <c r="A121" s="6" t="s">
        <v>3</v>
      </c>
      <c r="B121" s="6">
        <v>6067001200</v>
      </c>
      <c r="C121" s="7">
        <v>12</v>
      </c>
      <c r="D121" s="12" t="s">
        <v>3</v>
      </c>
      <c r="E121" s="13">
        <v>1107</v>
      </c>
      <c r="F121" s="13">
        <f>24+55+47</f>
        <v>126</v>
      </c>
      <c r="G121" s="13">
        <v>270</v>
      </c>
      <c r="H121" s="123" t="s">
        <v>112</v>
      </c>
    </row>
    <row r="122" spans="1:8" x14ac:dyDescent="0.25">
      <c r="A122" s="6" t="s">
        <v>3</v>
      </c>
      <c r="B122" s="6">
        <v>6067001300</v>
      </c>
      <c r="C122" s="7">
        <v>13</v>
      </c>
      <c r="D122" s="12" t="s">
        <v>3</v>
      </c>
      <c r="E122" s="13">
        <v>958</v>
      </c>
      <c r="F122" s="13">
        <v>1382</v>
      </c>
      <c r="G122" s="13">
        <v>506</v>
      </c>
      <c r="H122" s="123" t="s">
        <v>124</v>
      </c>
    </row>
    <row r="123" spans="1:8" x14ac:dyDescent="0.25">
      <c r="A123" s="6" t="s">
        <v>3</v>
      </c>
      <c r="B123" s="6">
        <v>6067001400</v>
      </c>
      <c r="C123" s="7">
        <v>14</v>
      </c>
      <c r="D123" s="12" t="s">
        <v>3</v>
      </c>
      <c r="E123" s="13">
        <v>1497</v>
      </c>
      <c r="F123" s="13">
        <f>27+14+8</f>
        <v>49</v>
      </c>
      <c r="G123" s="13">
        <f>41+175+335</f>
        <v>551</v>
      </c>
      <c r="H123" s="123" t="s">
        <v>124</v>
      </c>
    </row>
    <row r="124" spans="1:8" x14ac:dyDescent="0.25">
      <c r="A124" s="6" t="s">
        <v>3</v>
      </c>
      <c r="B124" s="6">
        <v>6067001500</v>
      </c>
      <c r="C124" s="7">
        <v>15</v>
      </c>
      <c r="D124" s="12" t="s">
        <v>3</v>
      </c>
      <c r="E124" s="13">
        <v>852</v>
      </c>
      <c r="F124" s="13">
        <v>118</v>
      </c>
      <c r="G124" s="13">
        <v>184</v>
      </c>
      <c r="H124" s="123" t="s">
        <v>113</v>
      </c>
    </row>
    <row r="125" spans="1:8" x14ac:dyDescent="0.25">
      <c r="A125" s="6" t="s">
        <v>3</v>
      </c>
      <c r="B125" s="6">
        <v>6067001600</v>
      </c>
      <c r="C125" s="7">
        <v>16</v>
      </c>
      <c r="D125" s="12" t="s">
        <v>3</v>
      </c>
      <c r="E125" s="13">
        <v>558</v>
      </c>
      <c r="F125" s="13">
        <f>73+18+1</f>
        <v>92</v>
      </c>
      <c r="G125" s="13">
        <f>258+68</f>
        <v>326</v>
      </c>
      <c r="H125" s="123" t="s">
        <v>113</v>
      </c>
    </row>
    <row r="126" spans="1:8" x14ac:dyDescent="0.25">
      <c r="A126" s="6" t="s">
        <v>3</v>
      </c>
      <c r="B126" s="6">
        <v>6067001700</v>
      </c>
      <c r="C126" s="7">
        <v>17</v>
      </c>
      <c r="D126" s="12" t="s">
        <v>3</v>
      </c>
      <c r="E126" s="13">
        <v>1688</v>
      </c>
      <c r="F126" s="13">
        <f>84+250+230</f>
        <v>564</v>
      </c>
      <c r="G126" s="13">
        <f>19+10+6</f>
        <v>35</v>
      </c>
      <c r="H126" s="123" t="s">
        <v>124</v>
      </c>
    </row>
    <row r="127" spans="1:8" x14ac:dyDescent="0.25">
      <c r="A127" s="6" t="s">
        <v>3</v>
      </c>
      <c r="B127" s="6">
        <v>6067001800</v>
      </c>
      <c r="C127" s="7">
        <v>18</v>
      </c>
      <c r="D127" s="12" t="s">
        <v>3</v>
      </c>
      <c r="E127" s="13">
        <v>129</v>
      </c>
      <c r="F127" s="13">
        <v>29</v>
      </c>
      <c r="G127" s="13">
        <v>85</v>
      </c>
      <c r="H127" s="123" t="s">
        <v>103</v>
      </c>
    </row>
    <row r="128" spans="1:8" x14ac:dyDescent="0.25">
      <c r="A128" s="6" t="s">
        <v>3</v>
      </c>
      <c r="B128" s="6">
        <v>6067001900</v>
      </c>
      <c r="C128" s="7">
        <v>19</v>
      </c>
      <c r="D128" s="12" t="s">
        <v>3</v>
      </c>
      <c r="E128" s="13">
        <v>401</v>
      </c>
      <c r="F128" s="13">
        <f>76+28+11</f>
        <v>115</v>
      </c>
      <c r="G128" s="13">
        <f>138+9+38</f>
        <v>185</v>
      </c>
      <c r="H128" s="123" t="s">
        <v>113</v>
      </c>
    </row>
    <row r="129" spans="1:8" x14ac:dyDescent="0.25">
      <c r="A129" s="6" t="s">
        <v>3</v>
      </c>
      <c r="B129" s="6">
        <v>6067002000</v>
      </c>
      <c r="C129" s="7">
        <v>20</v>
      </c>
      <c r="D129" s="12" t="s">
        <v>3</v>
      </c>
      <c r="E129" s="13">
        <v>1140</v>
      </c>
      <c r="F129" s="13">
        <v>54</v>
      </c>
      <c r="G129" s="13">
        <f>73+461</f>
        <v>534</v>
      </c>
      <c r="H129" s="123" t="s">
        <v>114</v>
      </c>
    </row>
    <row r="130" spans="1:8" x14ac:dyDescent="0.25">
      <c r="A130" s="6" t="s">
        <v>3</v>
      </c>
      <c r="B130" s="6">
        <v>6067002100</v>
      </c>
      <c r="C130" s="7">
        <v>21</v>
      </c>
      <c r="D130" s="12" t="s">
        <v>3</v>
      </c>
      <c r="E130" s="13">
        <v>463</v>
      </c>
      <c r="F130" s="13">
        <f>75+18+3</f>
        <v>96</v>
      </c>
      <c r="G130" s="13">
        <v>148</v>
      </c>
      <c r="H130" s="123" t="s">
        <v>114</v>
      </c>
    </row>
    <row r="131" spans="1:8" x14ac:dyDescent="0.25">
      <c r="A131" s="6" t="s">
        <v>3</v>
      </c>
      <c r="B131" s="6">
        <v>6067002200</v>
      </c>
      <c r="C131" s="7">
        <v>22</v>
      </c>
      <c r="D131" s="12" t="s">
        <v>3</v>
      </c>
      <c r="E131" s="13">
        <v>83</v>
      </c>
      <c r="F131" s="13">
        <v>101</v>
      </c>
      <c r="G131" s="13">
        <f>34+264+1</f>
        <v>299</v>
      </c>
      <c r="H131" s="123" t="s">
        <v>114</v>
      </c>
    </row>
    <row r="132" spans="1:8" x14ac:dyDescent="0.25">
      <c r="A132" s="6" t="s">
        <v>3</v>
      </c>
      <c r="B132" s="6">
        <v>6067002300</v>
      </c>
      <c r="C132" s="7">
        <v>23</v>
      </c>
      <c r="D132" s="12" t="s">
        <v>3</v>
      </c>
      <c r="E132" s="13">
        <v>145</v>
      </c>
      <c r="F132" s="13">
        <v>56</v>
      </c>
      <c r="G132" s="13">
        <v>51</v>
      </c>
      <c r="H132" s="123" t="s">
        <v>114</v>
      </c>
    </row>
    <row r="133" spans="1:8" x14ac:dyDescent="0.25">
      <c r="A133" s="6" t="s">
        <v>3</v>
      </c>
      <c r="B133" s="6">
        <v>6067002400</v>
      </c>
      <c r="C133" s="7">
        <v>24</v>
      </c>
      <c r="D133" s="12" t="s">
        <v>3</v>
      </c>
      <c r="E133" s="13">
        <v>598</v>
      </c>
      <c r="F133" s="13">
        <v>81</v>
      </c>
      <c r="G133" s="13">
        <v>89</v>
      </c>
      <c r="H133" s="123" t="s">
        <v>114</v>
      </c>
    </row>
    <row r="134" spans="1:8" x14ac:dyDescent="0.25">
      <c r="A134" s="6" t="s">
        <v>3</v>
      </c>
      <c r="B134" s="6">
        <v>6067002500</v>
      </c>
      <c r="C134" s="7">
        <v>25</v>
      </c>
      <c r="D134" s="12" t="s">
        <v>3</v>
      </c>
      <c r="E134" s="13">
        <v>3</v>
      </c>
      <c r="F134" s="13">
        <v>7</v>
      </c>
      <c r="G134" s="13">
        <v>8</v>
      </c>
      <c r="H134" s="123" t="s">
        <v>114</v>
      </c>
    </row>
    <row r="135" spans="1:8" x14ac:dyDescent="0.25">
      <c r="A135" s="6" t="s">
        <v>3</v>
      </c>
      <c r="B135" s="6">
        <v>6067002600</v>
      </c>
      <c r="C135" s="7">
        <v>26</v>
      </c>
      <c r="D135" s="12" t="s">
        <v>3</v>
      </c>
      <c r="E135" s="13">
        <v>913</v>
      </c>
      <c r="F135" s="13">
        <v>9</v>
      </c>
      <c r="G135" s="13">
        <v>127</v>
      </c>
      <c r="H135" s="123" t="s">
        <v>114</v>
      </c>
    </row>
    <row r="136" spans="1:8" x14ac:dyDescent="0.25">
      <c r="A136" s="6" t="s">
        <v>3</v>
      </c>
      <c r="B136" s="6">
        <v>6067002700</v>
      </c>
      <c r="C136" s="7">
        <v>27</v>
      </c>
      <c r="D136" s="12" t="s">
        <v>3</v>
      </c>
      <c r="E136" s="13">
        <v>131</v>
      </c>
      <c r="F136" s="13">
        <v>277</v>
      </c>
      <c r="G136" s="13">
        <v>32</v>
      </c>
      <c r="H136" s="123" t="s">
        <v>115</v>
      </c>
    </row>
    <row r="137" spans="1:8" x14ac:dyDescent="0.25">
      <c r="A137" s="6" t="s">
        <v>3</v>
      </c>
      <c r="B137" s="6">
        <v>6067002800</v>
      </c>
      <c r="C137" s="7">
        <v>28</v>
      </c>
      <c r="D137" s="12" t="s">
        <v>3</v>
      </c>
      <c r="E137" s="13">
        <v>13</v>
      </c>
      <c r="F137" s="13">
        <v>33</v>
      </c>
      <c r="G137" s="13">
        <v>24</v>
      </c>
      <c r="H137" s="123" t="s">
        <v>114</v>
      </c>
    </row>
    <row r="138" spans="1:8" x14ac:dyDescent="0.25">
      <c r="A138" s="6" t="s">
        <v>3</v>
      </c>
      <c r="B138" s="6">
        <v>6067002900</v>
      </c>
      <c r="C138" s="7">
        <v>29</v>
      </c>
      <c r="D138" s="12" t="s">
        <v>3</v>
      </c>
      <c r="E138" s="13">
        <v>85</v>
      </c>
      <c r="F138" s="13">
        <f>71+90+56</f>
        <v>217</v>
      </c>
      <c r="G138" s="13">
        <v>33</v>
      </c>
      <c r="H138" s="123" t="s">
        <v>115</v>
      </c>
    </row>
    <row r="139" spans="1:8" x14ac:dyDescent="0.25">
      <c r="A139" s="6" t="s">
        <v>3</v>
      </c>
      <c r="B139" s="6">
        <v>6067003000</v>
      </c>
      <c r="C139" s="7">
        <v>30</v>
      </c>
      <c r="D139" s="12" t="s">
        <v>3</v>
      </c>
      <c r="E139" s="13">
        <v>54</v>
      </c>
      <c r="F139" s="13">
        <f>47+112</f>
        <v>159</v>
      </c>
      <c r="G139" s="13">
        <v>52</v>
      </c>
      <c r="H139" s="123" t="s">
        <v>116</v>
      </c>
    </row>
    <row r="140" spans="1:8" x14ac:dyDescent="0.25">
      <c r="A140" s="6" t="s">
        <v>3</v>
      </c>
      <c r="B140" s="6">
        <v>6067003101</v>
      </c>
      <c r="C140" s="7">
        <v>31.01</v>
      </c>
      <c r="D140" s="12" t="s">
        <v>3</v>
      </c>
      <c r="E140" s="13">
        <v>70</v>
      </c>
      <c r="F140" s="13">
        <v>33</v>
      </c>
      <c r="G140" s="13">
        <v>42</v>
      </c>
      <c r="H140" s="123" t="s">
        <v>115</v>
      </c>
    </row>
    <row r="141" spans="1:8" x14ac:dyDescent="0.25">
      <c r="A141" s="6" t="s">
        <v>3</v>
      </c>
      <c r="B141" s="6">
        <v>6067003102</v>
      </c>
      <c r="C141" s="7">
        <v>31.02</v>
      </c>
      <c r="D141" s="12" t="s">
        <v>3</v>
      </c>
      <c r="E141" s="13">
        <v>26</v>
      </c>
      <c r="F141" s="13">
        <v>9</v>
      </c>
      <c r="G141" s="13">
        <v>6</v>
      </c>
      <c r="H141" s="123" t="s">
        <v>108</v>
      </c>
    </row>
    <row r="142" spans="1:8" x14ac:dyDescent="0.25">
      <c r="A142" s="6" t="s">
        <v>3</v>
      </c>
      <c r="B142" s="6">
        <v>6067003202</v>
      </c>
      <c r="C142" s="7">
        <v>32.020000000000003</v>
      </c>
      <c r="D142" s="12" t="s">
        <v>3</v>
      </c>
      <c r="E142" s="13">
        <v>76</v>
      </c>
      <c r="F142" s="13">
        <v>29</v>
      </c>
      <c r="G142" s="13">
        <v>124</v>
      </c>
      <c r="H142" s="123" t="s">
        <v>117</v>
      </c>
    </row>
    <row r="143" spans="1:8" x14ac:dyDescent="0.25">
      <c r="A143" s="6" t="s">
        <v>3</v>
      </c>
      <c r="B143" s="6">
        <v>6067003203</v>
      </c>
      <c r="C143" s="7">
        <v>32.03</v>
      </c>
      <c r="D143" s="12" t="s">
        <v>3</v>
      </c>
      <c r="E143" s="13">
        <v>6</v>
      </c>
      <c r="F143" s="13">
        <v>0</v>
      </c>
      <c r="G143" s="13">
        <v>0</v>
      </c>
      <c r="H143" s="123" t="s">
        <v>103</v>
      </c>
    </row>
    <row r="144" spans="1:8" x14ac:dyDescent="0.25">
      <c r="A144" s="6" t="s">
        <v>3</v>
      </c>
      <c r="B144" s="6">
        <v>6067003204</v>
      </c>
      <c r="C144" s="7">
        <v>32.04</v>
      </c>
      <c r="D144" s="12" t="s">
        <v>3</v>
      </c>
      <c r="E144" s="13">
        <v>48</v>
      </c>
      <c r="F144" s="13">
        <v>7</v>
      </c>
      <c r="G144" s="13">
        <v>3</v>
      </c>
      <c r="H144" s="123" t="s">
        <v>103</v>
      </c>
    </row>
    <row r="145" spans="1:8" x14ac:dyDescent="0.25">
      <c r="A145" s="6" t="s">
        <v>3</v>
      </c>
      <c r="B145" s="6">
        <v>6067003300</v>
      </c>
      <c r="C145" s="7">
        <v>33</v>
      </c>
      <c r="D145" s="12" t="s">
        <v>3</v>
      </c>
      <c r="E145" s="13">
        <v>48</v>
      </c>
      <c r="F145" s="13">
        <v>0</v>
      </c>
      <c r="G145" s="13">
        <v>212</v>
      </c>
      <c r="H145" s="123" t="s">
        <v>114</v>
      </c>
    </row>
    <row r="146" spans="1:8" x14ac:dyDescent="0.25">
      <c r="A146" s="6" t="s">
        <v>3</v>
      </c>
      <c r="B146" s="6">
        <v>6067003400</v>
      </c>
      <c r="C146" s="7">
        <v>34</v>
      </c>
      <c r="D146" s="12" t="s">
        <v>3</v>
      </c>
      <c r="E146" s="13">
        <v>111</v>
      </c>
      <c r="F146" s="13">
        <v>226</v>
      </c>
      <c r="G146" s="13">
        <v>319</v>
      </c>
      <c r="H146" s="123" t="s">
        <v>114</v>
      </c>
    </row>
    <row r="147" spans="1:8" x14ac:dyDescent="0.25">
      <c r="A147" s="6" t="s">
        <v>3</v>
      </c>
      <c r="B147" s="6">
        <v>6067003501</v>
      </c>
      <c r="C147" s="7">
        <v>35.01</v>
      </c>
      <c r="D147" s="12" t="s">
        <v>3</v>
      </c>
      <c r="E147" s="13">
        <v>111</v>
      </c>
      <c r="F147" s="13">
        <v>270</v>
      </c>
      <c r="G147" s="13">
        <v>171</v>
      </c>
      <c r="H147" s="123" t="s">
        <v>114</v>
      </c>
    </row>
    <row r="148" spans="1:8" x14ac:dyDescent="0.25">
      <c r="A148" s="6" t="s">
        <v>3</v>
      </c>
      <c r="B148" s="6">
        <v>6067003502</v>
      </c>
      <c r="C148" s="7">
        <v>35.020000000000003</v>
      </c>
      <c r="D148" s="12" t="s">
        <v>3</v>
      </c>
      <c r="E148" s="13">
        <v>34</v>
      </c>
      <c r="F148" s="13">
        <v>3</v>
      </c>
      <c r="G148" s="13">
        <v>141</v>
      </c>
      <c r="H148" s="123" t="s">
        <v>114</v>
      </c>
    </row>
    <row r="149" spans="1:8" x14ac:dyDescent="0.25">
      <c r="A149" s="6" t="s">
        <v>3</v>
      </c>
      <c r="B149" s="6">
        <v>6067003600</v>
      </c>
      <c r="C149" s="7">
        <v>36</v>
      </c>
      <c r="D149" s="12" t="s">
        <v>3</v>
      </c>
      <c r="E149" s="13">
        <v>60</v>
      </c>
      <c r="F149" s="13">
        <v>127</v>
      </c>
      <c r="G149" s="13">
        <v>84</v>
      </c>
      <c r="H149" s="123" t="s">
        <v>114</v>
      </c>
    </row>
    <row r="150" spans="1:8" x14ac:dyDescent="0.25">
      <c r="A150" s="6" t="s">
        <v>3</v>
      </c>
      <c r="B150" s="6">
        <v>6067003700</v>
      </c>
      <c r="C150" s="7">
        <v>37</v>
      </c>
      <c r="D150" s="12" t="s">
        <v>3</v>
      </c>
      <c r="E150" s="13">
        <v>11</v>
      </c>
      <c r="F150" s="13">
        <v>8</v>
      </c>
      <c r="G150" s="13">
        <v>35</v>
      </c>
      <c r="H150" s="123" t="s">
        <v>114</v>
      </c>
    </row>
    <row r="151" spans="1:8" x14ac:dyDescent="0.25">
      <c r="A151" s="6" t="s">
        <v>3</v>
      </c>
      <c r="B151" s="6">
        <v>6067003800</v>
      </c>
      <c r="C151" s="7">
        <v>38</v>
      </c>
      <c r="D151" s="12" t="s">
        <v>3</v>
      </c>
      <c r="E151" s="13">
        <v>94</v>
      </c>
      <c r="F151" s="13">
        <v>107</v>
      </c>
      <c r="G151" s="13">
        <v>193</v>
      </c>
      <c r="H151" s="123" t="s">
        <v>114</v>
      </c>
    </row>
    <row r="152" spans="1:8" x14ac:dyDescent="0.25">
      <c r="A152" s="6" t="s">
        <v>3</v>
      </c>
      <c r="B152" s="6">
        <v>6067003900</v>
      </c>
      <c r="C152" s="7">
        <v>39</v>
      </c>
      <c r="D152" s="12" t="s">
        <v>3</v>
      </c>
      <c r="E152" s="13">
        <v>10</v>
      </c>
      <c r="F152" s="13">
        <v>3</v>
      </c>
      <c r="G152" s="13">
        <v>13</v>
      </c>
      <c r="H152" s="123" t="s">
        <v>114</v>
      </c>
    </row>
    <row r="153" spans="1:8" x14ac:dyDescent="0.25">
      <c r="A153" s="6" t="s">
        <v>3</v>
      </c>
      <c r="B153" s="6">
        <v>6067004001</v>
      </c>
      <c r="C153" s="7">
        <v>40.01</v>
      </c>
      <c r="D153" s="12" t="s">
        <v>3</v>
      </c>
      <c r="E153" s="13">
        <v>87</v>
      </c>
      <c r="F153" s="13">
        <v>28</v>
      </c>
      <c r="G153" s="13">
        <v>197</v>
      </c>
      <c r="H153" s="123" t="s">
        <v>114</v>
      </c>
    </row>
    <row r="154" spans="1:8" x14ac:dyDescent="0.25">
      <c r="A154" s="6" t="s">
        <v>3</v>
      </c>
      <c r="B154" s="6">
        <v>6067004004</v>
      </c>
      <c r="C154" s="7">
        <v>40.04</v>
      </c>
      <c r="D154" s="12" t="s">
        <v>3</v>
      </c>
      <c r="E154" s="13">
        <v>54</v>
      </c>
      <c r="F154" s="13">
        <v>12</v>
      </c>
      <c r="G154" s="13">
        <v>112</v>
      </c>
      <c r="H154" s="123" t="s">
        <v>114</v>
      </c>
    </row>
    <row r="155" spans="1:8" x14ac:dyDescent="0.25">
      <c r="A155" s="6" t="s">
        <v>3</v>
      </c>
      <c r="B155" s="6">
        <v>6067004005</v>
      </c>
      <c r="C155" s="7">
        <v>40.049999999999997</v>
      </c>
      <c r="D155" s="12" t="s">
        <v>3</v>
      </c>
      <c r="E155" s="13">
        <v>34</v>
      </c>
      <c r="F155" s="13">
        <v>3</v>
      </c>
      <c r="G155" s="13">
        <v>13</v>
      </c>
      <c r="H155" s="123" t="s">
        <v>114</v>
      </c>
    </row>
    <row r="156" spans="1:8" x14ac:dyDescent="0.25">
      <c r="A156" s="6" t="s">
        <v>3</v>
      </c>
      <c r="B156" s="6">
        <v>6067004006</v>
      </c>
      <c r="C156" s="7">
        <v>40.06</v>
      </c>
      <c r="D156" s="12" t="s">
        <v>3</v>
      </c>
      <c r="E156" s="13">
        <v>64</v>
      </c>
      <c r="F156" s="13">
        <v>24</v>
      </c>
      <c r="G156" s="13">
        <v>32</v>
      </c>
      <c r="H156" s="123" t="s">
        <v>114</v>
      </c>
    </row>
    <row r="157" spans="1:8" x14ac:dyDescent="0.25">
      <c r="A157" s="6" t="s">
        <v>3</v>
      </c>
      <c r="B157" s="6">
        <v>6067004008</v>
      </c>
      <c r="C157" s="7">
        <v>40.08</v>
      </c>
      <c r="D157" s="12" t="s">
        <v>3</v>
      </c>
      <c r="E157" s="13">
        <v>2</v>
      </c>
      <c r="F157" s="13">
        <v>5</v>
      </c>
      <c r="G157" s="13">
        <v>8</v>
      </c>
      <c r="H157" s="123" t="s">
        <v>114</v>
      </c>
    </row>
    <row r="158" spans="1:8" x14ac:dyDescent="0.25">
      <c r="A158" s="6" t="s">
        <v>3</v>
      </c>
      <c r="B158" s="6">
        <v>6067004009</v>
      </c>
      <c r="C158" s="7">
        <v>40.090000000000003</v>
      </c>
      <c r="D158" s="12" t="s">
        <v>3</v>
      </c>
      <c r="E158" s="13">
        <v>117</v>
      </c>
      <c r="F158" s="13">
        <v>15</v>
      </c>
      <c r="G158" s="13">
        <v>247</v>
      </c>
      <c r="H158" s="123" t="s">
        <v>114</v>
      </c>
    </row>
    <row r="159" spans="1:8" x14ac:dyDescent="0.25">
      <c r="A159" s="6" t="s">
        <v>3</v>
      </c>
      <c r="B159" s="6">
        <v>6067004010</v>
      </c>
      <c r="C159" s="7">
        <v>40.1</v>
      </c>
      <c r="D159" s="12" t="s">
        <v>3</v>
      </c>
      <c r="E159" s="13">
        <v>484</v>
      </c>
      <c r="F159" s="13">
        <v>35</v>
      </c>
      <c r="G159" s="13">
        <v>309</v>
      </c>
      <c r="H159" s="123" t="s">
        <v>117</v>
      </c>
    </row>
    <row r="160" spans="1:8" x14ac:dyDescent="0.25">
      <c r="A160" s="6" t="s">
        <v>3</v>
      </c>
      <c r="B160" s="6">
        <v>6067004011</v>
      </c>
      <c r="C160" s="7">
        <v>40.11</v>
      </c>
      <c r="D160" s="12" t="s">
        <v>3</v>
      </c>
      <c r="E160" s="13">
        <v>28</v>
      </c>
      <c r="F160" s="13">
        <v>18</v>
      </c>
      <c r="G160" s="13">
        <v>22</v>
      </c>
      <c r="H160" s="123" t="s">
        <v>117</v>
      </c>
    </row>
    <row r="161" spans="1:8" x14ac:dyDescent="0.25">
      <c r="A161" s="6" t="s">
        <v>3</v>
      </c>
      <c r="B161" s="6">
        <v>6067004012</v>
      </c>
      <c r="C161" s="7">
        <v>40.119999999999997</v>
      </c>
      <c r="D161" s="12" t="s">
        <v>3</v>
      </c>
      <c r="E161" s="13">
        <v>31</v>
      </c>
      <c r="F161" s="13">
        <v>5</v>
      </c>
      <c r="G161" s="13">
        <v>25</v>
      </c>
      <c r="H161" s="123" t="s">
        <v>117</v>
      </c>
    </row>
    <row r="162" spans="1:8" x14ac:dyDescent="0.25">
      <c r="A162" s="6" t="s">
        <v>3</v>
      </c>
      <c r="B162" s="6">
        <v>6067004100</v>
      </c>
      <c r="C162" s="7">
        <v>41</v>
      </c>
      <c r="D162" s="12" t="s">
        <v>3</v>
      </c>
      <c r="E162" s="13">
        <v>136</v>
      </c>
      <c r="F162" s="13">
        <f>71+242</f>
        <v>313</v>
      </c>
      <c r="G162" s="13">
        <v>89</v>
      </c>
      <c r="H162" s="123" t="s">
        <v>117</v>
      </c>
    </row>
    <row r="163" spans="1:8" x14ac:dyDescent="0.25">
      <c r="A163" s="6" t="s">
        <v>3</v>
      </c>
      <c r="B163" s="6">
        <v>6067004201</v>
      </c>
      <c r="C163" s="7">
        <v>42.01</v>
      </c>
      <c r="D163" s="12" t="s">
        <v>3</v>
      </c>
      <c r="E163" s="13">
        <v>88</v>
      </c>
      <c r="F163" s="13">
        <v>0</v>
      </c>
      <c r="G163" s="13">
        <v>206</v>
      </c>
      <c r="H163" s="123" t="s">
        <v>117</v>
      </c>
    </row>
    <row r="164" spans="1:8" x14ac:dyDescent="0.25">
      <c r="A164" s="6" t="s">
        <v>3</v>
      </c>
      <c r="B164" s="6">
        <v>6067004202</v>
      </c>
      <c r="C164" s="7">
        <v>42.02</v>
      </c>
      <c r="D164" s="12" t="s">
        <v>3</v>
      </c>
      <c r="E164" s="13">
        <v>18</v>
      </c>
      <c r="F164" s="13">
        <v>2</v>
      </c>
      <c r="G164" s="13">
        <v>36</v>
      </c>
      <c r="H164" s="123" t="s">
        <v>117</v>
      </c>
    </row>
    <row r="165" spans="1:8" x14ac:dyDescent="0.25">
      <c r="A165" s="6" t="s">
        <v>3</v>
      </c>
      <c r="B165" s="6">
        <v>6067004203</v>
      </c>
      <c r="C165" s="7">
        <v>42.03</v>
      </c>
      <c r="D165" s="12" t="s">
        <v>3</v>
      </c>
      <c r="E165" s="13">
        <v>19</v>
      </c>
      <c r="F165" s="13">
        <v>0</v>
      </c>
      <c r="G165" s="13">
        <v>66</v>
      </c>
      <c r="H165" s="123" t="s">
        <v>117</v>
      </c>
    </row>
    <row r="166" spans="1:8" x14ac:dyDescent="0.25">
      <c r="A166" s="6" t="s">
        <v>3</v>
      </c>
      <c r="B166" s="6">
        <v>6067004300</v>
      </c>
      <c r="C166" s="7">
        <v>43</v>
      </c>
      <c r="D166" s="12" t="s">
        <v>3</v>
      </c>
      <c r="E166" s="13">
        <v>80</v>
      </c>
      <c r="F166" s="13">
        <v>3</v>
      </c>
      <c r="G166" s="13">
        <v>23</v>
      </c>
      <c r="H166" s="123" t="s">
        <v>117</v>
      </c>
    </row>
    <row r="167" spans="1:8" x14ac:dyDescent="0.25">
      <c r="A167" s="6" t="s">
        <v>3</v>
      </c>
      <c r="B167" s="6">
        <v>6067004401</v>
      </c>
      <c r="C167" s="7">
        <v>44.01</v>
      </c>
      <c r="D167" s="12" t="s">
        <v>3</v>
      </c>
      <c r="E167" s="13">
        <v>184</v>
      </c>
      <c r="F167" s="13">
        <v>24</v>
      </c>
      <c r="G167" s="13">
        <v>389</v>
      </c>
      <c r="H167" s="123" t="s">
        <v>117</v>
      </c>
    </row>
    <row r="168" spans="1:8" x14ac:dyDescent="0.25">
      <c r="A168" s="6" t="s">
        <v>3</v>
      </c>
      <c r="B168" s="6">
        <v>6067004402</v>
      </c>
      <c r="C168" s="7">
        <v>44.02</v>
      </c>
      <c r="D168" s="12" t="s">
        <v>3</v>
      </c>
      <c r="E168" s="13">
        <v>8</v>
      </c>
      <c r="F168" s="13">
        <v>0</v>
      </c>
      <c r="G168" s="13">
        <v>17</v>
      </c>
      <c r="H168" s="123" t="s">
        <v>117</v>
      </c>
    </row>
    <row r="169" spans="1:8" x14ac:dyDescent="0.25">
      <c r="A169" s="6" t="s">
        <v>3</v>
      </c>
      <c r="B169" s="6">
        <v>6067004501</v>
      </c>
      <c r="C169" s="7">
        <v>45.01</v>
      </c>
      <c r="D169" s="12" t="s">
        <v>3</v>
      </c>
      <c r="E169" s="13">
        <v>186</v>
      </c>
      <c r="F169" s="13">
        <v>129</v>
      </c>
      <c r="G169" s="13">
        <v>406</v>
      </c>
      <c r="H169" s="123" t="s">
        <v>117</v>
      </c>
    </row>
    <row r="170" spans="1:8" x14ac:dyDescent="0.25">
      <c r="A170" s="6" t="s">
        <v>3</v>
      </c>
      <c r="B170" s="6">
        <v>6067004502</v>
      </c>
      <c r="C170" s="7">
        <v>45.02</v>
      </c>
      <c r="D170" s="12" t="s">
        <v>3</v>
      </c>
      <c r="E170" s="13">
        <v>487</v>
      </c>
      <c r="F170" s="13">
        <v>518</v>
      </c>
      <c r="G170" s="13">
        <v>836</v>
      </c>
      <c r="H170" s="123" t="s">
        <v>114</v>
      </c>
    </row>
    <row r="171" spans="1:8" x14ac:dyDescent="0.25">
      <c r="A171" s="6" t="s">
        <v>3</v>
      </c>
      <c r="B171" s="6">
        <v>6067004601</v>
      </c>
      <c r="C171" s="7">
        <v>46.01</v>
      </c>
      <c r="D171" s="12" t="s">
        <v>3</v>
      </c>
      <c r="E171" s="13">
        <v>179</v>
      </c>
      <c r="F171" s="13">
        <v>173</v>
      </c>
      <c r="G171" s="13">
        <v>333</v>
      </c>
      <c r="H171" s="123" t="s">
        <v>114</v>
      </c>
    </row>
    <row r="172" spans="1:8" x14ac:dyDescent="0.25">
      <c r="A172" s="6" t="s">
        <v>3</v>
      </c>
      <c r="B172" s="6">
        <v>6067004602</v>
      </c>
      <c r="C172" s="7">
        <v>46.02</v>
      </c>
      <c r="D172" s="12" t="s">
        <v>3</v>
      </c>
      <c r="E172" s="13">
        <v>25</v>
      </c>
      <c r="F172" s="13">
        <v>4</v>
      </c>
      <c r="G172" s="13">
        <v>236</v>
      </c>
      <c r="H172" s="123" t="s">
        <v>114</v>
      </c>
    </row>
    <row r="173" spans="1:8" x14ac:dyDescent="0.25">
      <c r="A173" s="6" t="s">
        <v>3</v>
      </c>
      <c r="B173" s="6">
        <v>6067004701</v>
      </c>
      <c r="C173" s="7">
        <v>47.01</v>
      </c>
      <c r="D173" s="12" t="s">
        <v>3</v>
      </c>
      <c r="E173" s="13">
        <v>447</v>
      </c>
      <c r="F173" s="13">
        <v>16</v>
      </c>
      <c r="G173" s="13">
        <v>1105</v>
      </c>
      <c r="H173" s="123" t="s">
        <v>114</v>
      </c>
    </row>
    <row r="174" spans="1:8" x14ac:dyDescent="0.25">
      <c r="A174" s="6" t="s">
        <v>3</v>
      </c>
      <c r="B174" s="6">
        <v>6067004702</v>
      </c>
      <c r="C174" s="7">
        <v>47.02</v>
      </c>
      <c r="D174" s="12" t="s">
        <v>3</v>
      </c>
      <c r="E174" s="13">
        <v>55</v>
      </c>
      <c r="F174" s="13">
        <v>0</v>
      </c>
      <c r="G174" s="13">
        <v>79</v>
      </c>
      <c r="H174" s="123" t="s">
        <v>114</v>
      </c>
    </row>
    <row r="175" spans="1:8" x14ac:dyDescent="0.25">
      <c r="A175" s="6" t="s">
        <v>3</v>
      </c>
      <c r="B175" s="6">
        <v>6067004801</v>
      </c>
      <c r="C175" s="7">
        <v>48.01</v>
      </c>
      <c r="D175" s="12" t="s">
        <v>3</v>
      </c>
      <c r="E175" s="13">
        <v>65</v>
      </c>
      <c r="F175" s="13">
        <v>7</v>
      </c>
      <c r="G175" s="13">
        <v>282</v>
      </c>
      <c r="H175" s="123" t="s">
        <v>114</v>
      </c>
    </row>
    <row r="176" spans="1:8" x14ac:dyDescent="0.25">
      <c r="A176" s="6" t="s">
        <v>3</v>
      </c>
      <c r="B176" s="6">
        <v>6067004802</v>
      </c>
      <c r="C176" s="7">
        <v>48.02</v>
      </c>
      <c r="D176" s="12" t="s">
        <v>3</v>
      </c>
      <c r="E176" s="13">
        <v>23</v>
      </c>
      <c r="F176" s="13">
        <v>4</v>
      </c>
      <c r="G176" s="13">
        <v>39</v>
      </c>
      <c r="H176" s="123" t="s">
        <v>114</v>
      </c>
    </row>
    <row r="177" spans="1:8" x14ac:dyDescent="0.25">
      <c r="A177" s="6" t="s">
        <v>3</v>
      </c>
      <c r="B177" s="6">
        <v>6067004903</v>
      </c>
      <c r="C177" s="7">
        <v>49.03</v>
      </c>
      <c r="D177" s="12" t="s">
        <v>3</v>
      </c>
      <c r="E177" s="13">
        <v>110</v>
      </c>
      <c r="F177" s="13">
        <v>5</v>
      </c>
      <c r="G177" s="13">
        <v>345</v>
      </c>
      <c r="H177" s="123" t="s">
        <v>114</v>
      </c>
    </row>
    <row r="178" spans="1:8" x14ac:dyDescent="0.25">
      <c r="A178" s="6" t="s">
        <v>3</v>
      </c>
      <c r="B178" s="6">
        <v>6067004904</v>
      </c>
      <c r="C178" s="7">
        <v>49.04</v>
      </c>
      <c r="D178" s="12" t="s">
        <v>3</v>
      </c>
      <c r="E178" s="13">
        <v>153</v>
      </c>
      <c r="F178" s="13">
        <v>27</v>
      </c>
      <c r="G178" s="13">
        <v>281</v>
      </c>
      <c r="H178" s="123" t="s">
        <v>114</v>
      </c>
    </row>
    <row r="179" spans="1:8" x14ac:dyDescent="0.25">
      <c r="A179" s="6" t="s">
        <v>3</v>
      </c>
      <c r="B179" s="6">
        <v>6067004905</v>
      </c>
      <c r="C179" s="7">
        <v>49.05</v>
      </c>
      <c r="D179" s="12" t="s">
        <v>3</v>
      </c>
      <c r="E179" s="13">
        <v>119</v>
      </c>
      <c r="F179" s="13">
        <v>10</v>
      </c>
      <c r="G179" s="13">
        <v>200</v>
      </c>
      <c r="H179" s="123" t="s">
        <v>114</v>
      </c>
    </row>
    <row r="180" spans="1:8" x14ac:dyDescent="0.25">
      <c r="A180" s="6" t="s">
        <v>3</v>
      </c>
      <c r="B180" s="6">
        <v>6067004906</v>
      </c>
      <c r="C180" s="7">
        <v>49.06</v>
      </c>
      <c r="D180" s="12" t="s">
        <v>3</v>
      </c>
      <c r="E180" s="13">
        <v>11</v>
      </c>
      <c r="F180" s="13">
        <v>0</v>
      </c>
      <c r="G180" s="13">
        <v>20</v>
      </c>
      <c r="H180" s="123" t="s">
        <v>114</v>
      </c>
    </row>
    <row r="181" spans="1:8" x14ac:dyDescent="0.25">
      <c r="A181" s="6" t="s">
        <v>3</v>
      </c>
      <c r="B181" s="6">
        <v>6067005001</v>
      </c>
      <c r="C181" s="7">
        <v>50.01</v>
      </c>
      <c r="D181" s="12" t="s">
        <v>3</v>
      </c>
      <c r="E181" s="13">
        <v>98</v>
      </c>
      <c r="F181" s="13">
        <v>20</v>
      </c>
      <c r="G181" s="13">
        <v>197</v>
      </c>
      <c r="H181" s="123" t="s">
        <v>114</v>
      </c>
    </row>
    <row r="182" spans="1:8" x14ac:dyDescent="0.25">
      <c r="A182" s="6" t="s">
        <v>3</v>
      </c>
      <c r="B182" s="6">
        <v>6067005002</v>
      </c>
      <c r="C182" s="7">
        <v>50.02</v>
      </c>
      <c r="D182" s="12" t="s">
        <v>3</v>
      </c>
      <c r="E182" s="13">
        <v>249</v>
      </c>
      <c r="F182" s="13">
        <v>18</v>
      </c>
      <c r="G182" s="13">
        <v>516</v>
      </c>
      <c r="H182" s="123" t="s">
        <v>114</v>
      </c>
    </row>
    <row r="183" spans="1:8" x14ac:dyDescent="0.25">
      <c r="A183" s="6" t="s">
        <v>3</v>
      </c>
      <c r="B183" s="6">
        <v>6067005101</v>
      </c>
      <c r="C183" s="7">
        <v>51.01</v>
      </c>
      <c r="D183" s="12" t="s">
        <v>3</v>
      </c>
      <c r="E183" s="13">
        <v>359</v>
      </c>
      <c r="F183" s="13">
        <v>723</v>
      </c>
      <c r="G183" s="13">
        <v>438</v>
      </c>
      <c r="H183" s="123" t="s">
        <v>114</v>
      </c>
    </row>
    <row r="184" spans="1:8" x14ac:dyDescent="0.25">
      <c r="A184" s="6" t="s">
        <v>3</v>
      </c>
      <c r="B184" s="6">
        <v>6067005102</v>
      </c>
      <c r="C184" s="7">
        <v>51.02</v>
      </c>
      <c r="D184" s="12" t="s">
        <v>3</v>
      </c>
      <c r="E184" s="13">
        <v>171</v>
      </c>
      <c r="F184" s="13">
        <v>1117</v>
      </c>
      <c r="G184" s="13">
        <v>75</v>
      </c>
      <c r="H184" s="123" t="s">
        <v>114</v>
      </c>
    </row>
    <row r="185" spans="1:8" x14ac:dyDescent="0.25">
      <c r="A185" s="6" t="s">
        <v>3</v>
      </c>
      <c r="B185" s="6">
        <v>6067005201</v>
      </c>
      <c r="C185" s="7">
        <v>52.01</v>
      </c>
      <c r="D185" s="12" t="s">
        <v>3</v>
      </c>
      <c r="E185" s="13">
        <v>1</v>
      </c>
      <c r="F185" s="13">
        <v>0</v>
      </c>
      <c r="G185" s="13">
        <v>3</v>
      </c>
      <c r="H185" s="123" t="s">
        <v>114</v>
      </c>
    </row>
    <row r="186" spans="1:8" x14ac:dyDescent="0.25">
      <c r="A186" s="6" t="s">
        <v>3</v>
      </c>
      <c r="B186" s="6">
        <v>6067005202</v>
      </c>
      <c r="C186" s="7">
        <v>52.02</v>
      </c>
      <c r="D186" s="12" t="s">
        <v>3</v>
      </c>
      <c r="E186" s="13">
        <v>18</v>
      </c>
      <c r="F186" s="13">
        <v>17</v>
      </c>
      <c r="G186" s="13">
        <v>3</v>
      </c>
      <c r="H186" s="123" t="s">
        <v>114</v>
      </c>
    </row>
    <row r="187" spans="1:8" x14ac:dyDescent="0.25">
      <c r="A187" s="6" t="s">
        <v>3</v>
      </c>
      <c r="B187" s="6">
        <v>6067005204</v>
      </c>
      <c r="C187" s="7">
        <v>52.04</v>
      </c>
      <c r="D187" s="12" t="s">
        <v>3</v>
      </c>
      <c r="E187" s="13">
        <v>508</v>
      </c>
      <c r="F187" s="13">
        <v>368</v>
      </c>
      <c r="G187" s="13">
        <v>462</v>
      </c>
      <c r="H187" s="123" t="s">
        <v>114</v>
      </c>
    </row>
    <row r="188" spans="1:8" x14ac:dyDescent="0.25">
      <c r="A188" s="6" t="s">
        <v>3</v>
      </c>
      <c r="B188" s="6">
        <v>6067005205</v>
      </c>
      <c r="C188" s="7">
        <v>52.05</v>
      </c>
      <c r="D188" s="12" t="s">
        <v>3</v>
      </c>
      <c r="E188" s="13">
        <v>1978</v>
      </c>
      <c r="F188" s="13">
        <v>3386</v>
      </c>
      <c r="G188" s="13">
        <v>2233</v>
      </c>
      <c r="H188" s="123" t="s">
        <v>154</v>
      </c>
    </row>
    <row r="189" spans="1:8" x14ac:dyDescent="0.25">
      <c r="A189" s="6" t="s">
        <v>3</v>
      </c>
      <c r="B189" s="6">
        <v>6067005301</v>
      </c>
      <c r="C189" s="7">
        <v>53.01</v>
      </c>
      <c r="D189" s="12" t="s">
        <v>3</v>
      </c>
      <c r="E189" s="13">
        <v>1421</v>
      </c>
      <c r="F189" s="13">
        <v>1443</v>
      </c>
      <c r="G189" s="13">
        <v>1181</v>
      </c>
      <c r="H189" s="123" t="s">
        <v>155</v>
      </c>
    </row>
    <row r="190" spans="1:8" x14ac:dyDescent="0.25">
      <c r="A190" s="6" t="s">
        <v>3</v>
      </c>
      <c r="B190" s="6">
        <v>6067005402</v>
      </c>
      <c r="C190" s="7">
        <v>54.02</v>
      </c>
      <c r="D190" s="12" t="s">
        <v>3</v>
      </c>
      <c r="E190" s="13">
        <v>4298</v>
      </c>
      <c r="F190" s="13">
        <v>247</v>
      </c>
      <c r="G190" s="13">
        <v>959</v>
      </c>
      <c r="H190" s="123" t="s">
        <v>154</v>
      </c>
    </row>
    <row r="191" spans="1:8" x14ac:dyDescent="0.25">
      <c r="A191" s="6" t="s">
        <v>3</v>
      </c>
      <c r="B191" s="6">
        <v>6067005403</v>
      </c>
      <c r="C191" s="7">
        <v>54.03</v>
      </c>
      <c r="D191" s="12" t="s">
        <v>3</v>
      </c>
      <c r="E191" s="13">
        <v>760</v>
      </c>
      <c r="F191" s="13">
        <v>4</v>
      </c>
      <c r="G191" s="13">
        <v>360</v>
      </c>
      <c r="H191" s="123" t="s">
        <v>115</v>
      </c>
    </row>
    <row r="192" spans="1:8" x14ac:dyDescent="0.25">
      <c r="A192" s="6" t="s">
        <v>3</v>
      </c>
      <c r="B192" s="6">
        <v>6067005404</v>
      </c>
      <c r="C192" s="7">
        <v>54.04</v>
      </c>
      <c r="D192" s="12" t="s">
        <v>3</v>
      </c>
      <c r="E192" s="13">
        <v>629</v>
      </c>
      <c r="F192" s="13">
        <v>181</v>
      </c>
      <c r="G192" s="13">
        <v>470</v>
      </c>
      <c r="H192" s="123" t="s">
        <v>115</v>
      </c>
    </row>
    <row r="193" spans="1:8" x14ac:dyDescent="0.25">
      <c r="A193" s="6" t="s">
        <v>3</v>
      </c>
      <c r="B193" s="6">
        <v>6067005502</v>
      </c>
      <c r="C193" s="7">
        <v>55.02</v>
      </c>
      <c r="D193" s="12" t="s">
        <v>3</v>
      </c>
      <c r="E193" s="13">
        <v>3421</v>
      </c>
      <c r="F193" s="13">
        <v>598</v>
      </c>
      <c r="G193" s="13">
        <v>3197</v>
      </c>
      <c r="H193" s="123" t="s">
        <v>156</v>
      </c>
    </row>
    <row r="194" spans="1:8" x14ac:dyDescent="0.25">
      <c r="A194" s="6" t="s">
        <v>3</v>
      </c>
      <c r="B194" s="6">
        <v>6067005505</v>
      </c>
      <c r="C194" s="7">
        <v>55.05</v>
      </c>
      <c r="D194" s="12" t="s">
        <v>3</v>
      </c>
      <c r="E194" s="13">
        <v>1353</v>
      </c>
      <c r="F194" s="13">
        <v>20</v>
      </c>
      <c r="G194" s="13">
        <v>1131</v>
      </c>
      <c r="H194" s="123" t="s">
        <v>157</v>
      </c>
    </row>
    <row r="195" spans="1:8" x14ac:dyDescent="0.25">
      <c r="A195" s="6" t="s">
        <v>3</v>
      </c>
      <c r="B195" s="6">
        <v>6067005506</v>
      </c>
      <c r="C195" s="7">
        <v>55.06</v>
      </c>
      <c r="D195" s="12" t="s">
        <v>3</v>
      </c>
      <c r="E195" s="13">
        <v>1219</v>
      </c>
      <c r="F195" s="13">
        <v>6</v>
      </c>
      <c r="G195" s="13">
        <v>780</v>
      </c>
      <c r="H195" s="123" t="s">
        <v>158</v>
      </c>
    </row>
    <row r="196" spans="1:8" x14ac:dyDescent="0.25">
      <c r="A196" s="6" t="s">
        <v>3</v>
      </c>
      <c r="B196" s="6">
        <v>6067005508</v>
      </c>
      <c r="C196" s="7">
        <v>55.08</v>
      </c>
      <c r="D196" s="12" t="s">
        <v>3</v>
      </c>
      <c r="E196" s="13">
        <v>712</v>
      </c>
      <c r="F196" s="13">
        <v>86</v>
      </c>
      <c r="G196" s="13">
        <v>720</v>
      </c>
      <c r="H196" s="123" t="s">
        <v>115</v>
      </c>
    </row>
    <row r="197" spans="1:8" x14ac:dyDescent="0.25">
      <c r="A197" s="6" t="s">
        <v>3</v>
      </c>
      <c r="B197" s="6">
        <v>6067005509</v>
      </c>
      <c r="C197" s="7">
        <v>55.09</v>
      </c>
      <c r="D197" s="12" t="s">
        <v>3</v>
      </c>
      <c r="E197" s="13">
        <v>78</v>
      </c>
      <c r="F197" s="13">
        <v>0</v>
      </c>
      <c r="G197" s="13">
        <v>154</v>
      </c>
      <c r="H197" s="123" t="s">
        <v>115</v>
      </c>
    </row>
    <row r="198" spans="1:8" x14ac:dyDescent="0.25">
      <c r="A198" s="6" t="s">
        <v>3</v>
      </c>
      <c r="B198" s="6">
        <v>6067005510</v>
      </c>
      <c r="C198" s="7">
        <v>55.1</v>
      </c>
      <c r="D198" s="12" t="s">
        <v>3</v>
      </c>
      <c r="E198" s="13">
        <v>52</v>
      </c>
      <c r="F198" s="13">
        <v>0</v>
      </c>
      <c r="G198" s="13">
        <v>36</v>
      </c>
      <c r="H198" s="123" t="s">
        <v>115</v>
      </c>
    </row>
    <row r="199" spans="1:8" x14ac:dyDescent="0.25">
      <c r="A199" s="6" t="s">
        <v>3</v>
      </c>
      <c r="B199" s="6">
        <v>6067005601</v>
      </c>
      <c r="C199" s="7">
        <v>56.01</v>
      </c>
      <c r="D199" s="12" t="s">
        <v>3</v>
      </c>
      <c r="E199" s="13">
        <v>2052</v>
      </c>
      <c r="F199" s="13">
        <v>51</v>
      </c>
      <c r="G199" s="13">
        <v>917</v>
      </c>
      <c r="H199" s="123" t="s">
        <v>157</v>
      </c>
    </row>
    <row r="200" spans="1:8" x14ac:dyDescent="0.25">
      <c r="A200" s="6" t="s">
        <v>3</v>
      </c>
      <c r="B200" s="6">
        <v>6067005605</v>
      </c>
      <c r="C200" s="7">
        <v>56.05</v>
      </c>
      <c r="D200" s="12" t="s">
        <v>3</v>
      </c>
      <c r="E200" s="13">
        <v>644</v>
      </c>
      <c r="F200" s="13">
        <v>4</v>
      </c>
      <c r="G200" s="13">
        <v>377</v>
      </c>
      <c r="H200" s="123" t="s">
        <v>159</v>
      </c>
    </row>
    <row r="201" spans="1:8" x14ac:dyDescent="0.25">
      <c r="A201" s="6" t="s">
        <v>3</v>
      </c>
      <c r="B201" s="6">
        <v>6067005606</v>
      </c>
      <c r="C201" s="7">
        <v>56.06</v>
      </c>
      <c r="D201" s="12" t="s">
        <v>3</v>
      </c>
      <c r="E201" s="13">
        <v>340</v>
      </c>
      <c r="F201" s="13">
        <v>9</v>
      </c>
      <c r="G201" s="13">
        <v>89</v>
      </c>
      <c r="H201" s="123" t="s">
        <v>159</v>
      </c>
    </row>
    <row r="202" spans="1:8" x14ac:dyDescent="0.25">
      <c r="A202" s="6" t="s">
        <v>3</v>
      </c>
      <c r="B202" s="6">
        <v>6067005701</v>
      </c>
      <c r="C202" s="7">
        <v>57.01</v>
      </c>
      <c r="D202" s="12" t="s">
        <v>3</v>
      </c>
      <c r="E202" s="13">
        <v>123</v>
      </c>
      <c r="F202" s="13">
        <v>20</v>
      </c>
      <c r="G202" s="13">
        <v>353</v>
      </c>
      <c r="H202" s="123" t="s">
        <v>159</v>
      </c>
    </row>
    <row r="203" spans="1:8" x14ac:dyDescent="0.25">
      <c r="A203" s="6" t="s">
        <v>3</v>
      </c>
      <c r="B203" s="6">
        <v>6067005702</v>
      </c>
      <c r="C203" s="7">
        <v>57.02</v>
      </c>
      <c r="D203" s="12" t="s">
        <v>3</v>
      </c>
      <c r="E203" s="13">
        <v>65</v>
      </c>
      <c r="F203" s="13">
        <v>42</v>
      </c>
      <c r="G203" s="13">
        <v>156</v>
      </c>
      <c r="H203" s="123" t="s">
        <v>159</v>
      </c>
    </row>
    <row r="204" spans="1:8" x14ac:dyDescent="0.25">
      <c r="A204" s="6" t="s">
        <v>3</v>
      </c>
      <c r="B204" s="6">
        <v>6067005801</v>
      </c>
      <c r="C204" s="7">
        <v>58.01</v>
      </c>
      <c r="D204" s="12" t="s">
        <v>3</v>
      </c>
      <c r="E204" s="13">
        <v>138</v>
      </c>
      <c r="F204" s="13">
        <v>20</v>
      </c>
      <c r="G204" s="13">
        <v>304</v>
      </c>
      <c r="H204" s="123" t="s">
        <v>159</v>
      </c>
    </row>
    <row r="205" spans="1:8" x14ac:dyDescent="0.25">
      <c r="A205" s="6" t="s">
        <v>3</v>
      </c>
      <c r="B205" s="6">
        <v>6067005803</v>
      </c>
      <c r="C205" s="7">
        <v>58.03</v>
      </c>
      <c r="D205" s="12" t="s">
        <v>3</v>
      </c>
      <c r="E205" s="13">
        <v>78</v>
      </c>
      <c r="F205" s="13">
        <v>30</v>
      </c>
      <c r="G205" s="13">
        <v>124</v>
      </c>
      <c r="H205" s="123" t="s">
        <v>159</v>
      </c>
    </row>
    <row r="206" spans="1:8" x14ac:dyDescent="0.25">
      <c r="A206" s="6" t="s">
        <v>3</v>
      </c>
      <c r="B206" s="6">
        <v>6067005804</v>
      </c>
      <c r="C206" s="7">
        <v>58.04</v>
      </c>
      <c r="D206" s="12" t="s">
        <v>37</v>
      </c>
      <c r="E206" s="13">
        <v>35</v>
      </c>
      <c r="F206" s="13">
        <v>4</v>
      </c>
      <c r="G206" s="13">
        <v>20</v>
      </c>
      <c r="H206" s="123" t="s">
        <v>159</v>
      </c>
    </row>
    <row r="207" spans="1:8" x14ac:dyDescent="0.25">
      <c r="A207" s="6" t="s">
        <v>3</v>
      </c>
      <c r="B207" s="6">
        <v>6067005901</v>
      </c>
      <c r="C207" s="7">
        <v>59.01</v>
      </c>
      <c r="D207" s="12" t="s">
        <v>3</v>
      </c>
      <c r="E207" s="13">
        <v>178</v>
      </c>
      <c r="F207" s="13">
        <v>29</v>
      </c>
      <c r="G207" s="13">
        <v>113</v>
      </c>
      <c r="H207" s="123" t="s">
        <v>159</v>
      </c>
    </row>
    <row r="208" spans="1:8" x14ac:dyDescent="0.25">
      <c r="A208" s="6" t="s">
        <v>3</v>
      </c>
      <c r="B208" s="6">
        <v>6067005903</v>
      </c>
      <c r="C208" s="7">
        <v>59.03</v>
      </c>
      <c r="D208" s="12" t="s">
        <v>37</v>
      </c>
      <c r="E208" s="13">
        <v>24</v>
      </c>
      <c r="F208" s="13">
        <v>26</v>
      </c>
      <c r="G208" s="13">
        <v>6</v>
      </c>
      <c r="H208" s="123" t="s">
        <v>159</v>
      </c>
    </row>
    <row r="209" spans="1:8" x14ac:dyDescent="0.25">
      <c r="A209" s="6" t="s">
        <v>3</v>
      </c>
      <c r="B209" s="6">
        <v>6067005904</v>
      </c>
      <c r="C209" s="7">
        <v>59.04</v>
      </c>
      <c r="D209" s="12" t="s">
        <v>3</v>
      </c>
      <c r="E209" s="13">
        <v>47</v>
      </c>
      <c r="F209" s="13">
        <v>32</v>
      </c>
      <c r="G209" s="13">
        <v>80</v>
      </c>
      <c r="H209" s="123" t="s">
        <v>159</v>
      </c>
    </row>
    <row r="210" spans="1:8" x14ac:dyDescent="0.25">
      <c r="A210" s="6" t="s">
        <v>3</v>
      </c>
      <c r="B210" s="6">
        <v>6067006002</v>
      </c>
      <c r="C210" s="7">
        <v>60.02</v>
      </c>
      <c r="D210" s="12" t="s">
        <v>3</v>
      </c>
      <c r="E210" s="13">
        <v>689</v>
      </c>
      <c r="F210" s="13">
        <v>15</v>
      </c>
      <c r="G210" s="13">
        <v>464</v>
      </c>
      <c r="H210" s="123" t="s">
        <v>159</v>
      </c>
    </row>
    <row r="211" spans="1:8" x14ac:dyDescent="0.25">
      <c r="A211" s="6" t="s">
        <v>3</v>
      </c>
      <c r="B211" s="6">
        <v>6067006003</v>
      </c>
      <c r="C211" s="7">
        <v>60.03</v>
      </c>
      <c r="D211" s="12" t="s">
        <v>3</v>
      </c>
      <c r="E211" s="13">
        <v>186</v>
      </c>
      <c r="F211" s="13">
        <v>68</v>
      </c>
      <c r="G211" s="13">
        <v>163</v>
      </c>
      <c r="H211" s="123" t="s">
        <v>159</v>
      </c>
    </row>
    <row r="212" spans="1:8" x14ac:dyDescent="0.25">
      <c r="A212" s="6" t="s">
        <v>3</v>
      </c>
      <c r="B212" s="6">
        <v>6067006004</v>
      </c>
      <c r="C212" s="7">
        <v>60.04</v>
      </c>
      <c r="D212" s="12" t="s">
        <v>3</v>
      </c>
      <c r="E212" s="13">
        <v>11</v>
      </c>
      <c r="F212" s="13">
        <v>21</v>
      </c>
      <c r="G212" s="13">
        <v>28</v>
      </c>
      <c r="H212" s="123" t="s">
        <v>159</v>
      </c>
    </row>
    <row r="213" spans="1:8" x14ac:dyDescent="0.25">
      <c r="A213" s="6" t="s">
        <v>3</v>
      </c>
      <c r="B213" s="6">
        <v>6067006101</v>
      </c>
      <c r="C213" s="7">
        <v>61.01</v>
      </c>
      <c r="D213" s="12" t="s">
        <v>3</v>
      </c>
      <c r="E213" s="13">
        <v>219</v>
      </c>
      <c r="F213" s="13">
        <v>97</v>
      </c>
      <c r="G213" s="13">
        <v>710</v>
      </c>
      <c r="H213" s="123" t="s">
        <v>159</v>
      </c>
    </row>
    <row r="214" spans="1:8" x14ac:dyDescent="0.25">
      <c r="A214" s="6" t="s">
        <v>3</v>
      </c>
      <c r="B214" s="6">
        <v>6067006102</v>
      </c>
      <c r="C214" s="7">
        <v>61.02</v>
      </c>
      <c r="D214" s="12" t="s">
        <v>3</v>
      </c>
      <c r="E214" s="13">
        <v>126</v>
      </c>
      <c r="F214" s="13">
        <v>12</v>
      </c>
      <c r="G214" s="13">
        <v>325</v>
      </c>
      <c r="H214" s="123" t="s">
        <v>159</v>
      </c>
    </row>
    <row r="215" spans="1:8" x14ac:dyDescent="0.25">
      <c r="A215" s="6" t="s">
        <v>3</v>
      </c>
      <c r="B215" s="6">
        <v>6067006201</v>
      </c>
      <c r="C215" s="7">
        <v>62.01</v>
      </c>
      <c r="D215" s="12" t="s">
        <v>3</v>
      </c>
      <c r="E215" s="13">
        <v>124</v>
      </c>
      <c r="F215" s="13">
        <v>30</v>
      </c>
      <c r="G215" s="13">
        <v>700</v>
      </c>
      <c r="H215" s="123" t="s">
        <v>159</v>
      </c>
    </row>
    <row r="216" spans="1:8" x14ac:dyDescent="0.25">
      <c r="A216" s="6" t="s">
        <v>3</v>
      </c>
      <c r="B216" s="6">
        <v>6067006202</v>
      </c>
      <c r="C216" s="7">
        <v>62.02</v>
      </c>
      <c r="D216" s="12" t="s">
        <v>3</v>
      </c>
      <c r="E216" s="13">
        <v>150</v>
      </c>
      <c r="F216" s="13">
        <v>389</v>
      </c>
      <c r="G216" s="13">
        <v>330</v>
      </c>
      <c r="H216" s="123" t="s">
        <v>159</v>
      </c>
    </row>
    <row r="217" spans="1:8" x14ac:dyDescent="0.25">
      <c r="A217" s="6" t="s">
        <v>3</v>
      </c>
      <c r="B217" s="6">
        <v>6067006300</v>
      </c>
      <c r="C217" s="7">
        <v>63</v>
      </c>
      <c r="D217" s="12" t="s">
        <v>3</v>
      </c>
      <c r="E217" s="13">
        <v>385</v>
      </c>
      <c r="F217" s="13">
        <v>986</v>
      </c>
      <c r="G217" s="13">
        <v>219</v>
      </c>
      <c r="H217" s="123" t="s">
        <v>159</v>
      </c>
    </row>
    <row r="218" spans="1:8" x14ac:dyDescent="0.25">
      <c r="A218" s="6" t="s">
        <v>3</v>
      </c>
      <c r="B218" s="6">
        <v>6067006400</v>
      </c>
      <c r="C218" s="7">
        <v>64</v>
      </c>
      <c r="D218" s="12" t="s">
        <v>3</v>
      </c>
      <c r="E218" s="13">
        <v>367</v>
      </c>
      <c r="F218" s="13">
        <v>715</v>
      </c>
      <c r="G218" s="13">
        <v>563</v>
      </c>
      <c r="H218" s="123" t="s">
        <v>159</v>
      </c>
    </row>
    <row r="219" spans="1:8" x14ac:dyDescent="0.25">
      <c r="A219" s="6" t="s">
        <v>3</v>
      </c>
      <c r="B219" s="6">
        <v>6067006500</v>
      </c>
      <c r="C219" s="7">
        <v>65</v>
      </c>
      <c r="D219" s="12" t="s">
        <v>3</v>
      </c>
      <c r="E219" s="13">
        <v>77</v>
      </c>
      <c r="F219" s="13">
        <v>82</v>
      </c>
      <c r="G219" s="13">
        <v>46</v>
      </c>
      <c r="H219" s="123" t="s">
        <v>159</v>
      </c>
    </row>
    <row r="220" spans="1:8" x14ac:dyDescent="0.25">
      <c r="A220" s="6" t="s">
        <v>3</v>
      </c>
      <c r="B220" s="6">
        <v>6067006600</v>
      </c>
      <c r="C220" s="7">
        <v>66</v>
      </c>
      <c r="D220" s="12" t="s">
        <v>3</v>
      </c>
      <c r="E220" s="13">
        <v>33</v>
      </c>
      <c r="F220" s="13">
        <v>7</v>
      </c>
      <c r="G220" s="13">
        <v>85</v>
      </c>
      <c r="H220" s="123" t="s">
        <v>159</v>
      </c>
    </row>
    <row r="221" spans="1:8" x14ac:dyDescent="0.25">
      <c r="A221" s="6" t="s">
        <v>3</v>
      </c>
      <c r="B221" s="6">
        <v>6067006701</v>
      </c>
      <c r="C221" s="7">
        <v>67.010000000000005</v>
      </c>
      <c r="D221" s="12" t="s">
        <v>3</v>
      </c>
      <c r="E221" s="13">
        <v>638</v>
      </c>
      <c r="F221" s="13">
        <v>311</v>
      </c>
      <c r="G221" s="13">
        <v>1501</v>
      </c>
      <c r="H221" s="123" t="s">
        <v>115</v>
      </c>
    </row>
    <row r="222" spans="1:8" x14ac:dyDescent="0.25">
      <c r="A222" s="6" t="s">
        <v>3</v>
      </c>
      <c r="B222" s="6">
        <v>6067006702</v>
      </c>
      <c r="C222" s="7">
        <v>67.02</v>
      </c>
      <c r="D222" s="12" t="s">
        <v>3</v>
      </c>
      <c r="E222" s="13">
        <v>343</v>
      </c>
      <c r="F222" s="13">
        <v>760</v>
      </c>
      <c r="G222" s="13">
        <v>325</v>
      </c>
      <c r="H222" s="123" t="s">
        <v>115</v>
      </c>
    </row>
    <row r="223" spans="1:8" x14ac:dyDescent="0.25">
      <c r="A223" s="6" t="s">
        <v>3</v>
      </c>
      <c r="B223" s="6">
        <v>6067006800</v>
      </c>
      <c r="C223" s="7">
        <v>68</v>
      </c>
      <c r="D223" s="12" t="s">
        <v>3</v>
      </c>
      <c r="E223" s="13">
        <v>91</v>
      </c>
      <c r="F223" s="13">
        <v>22</v>
      </c>
      <c r="G223" s="13">
        <v>200</v>
      </c>
      <c r="H223" s="123" t="s">
        <v>115</v>
      </c>
    </row>
    <row r="224" spans="1:8" x14ac:dyDescent="0.25">
      <c r="A224" s="6" t="s">
        <v>3</v>
      </c>
      <c r="B224" s="6">
        <v>6067006900</v>
      </c>
      <c r="C224" s="7">
        <v>69</v>
      </c>
      <c r="D224" s="12" t="s">
        <v>3</v>
      </c>
      <c r="E224" s="13">
        <v>112</v>
      </c>
      <c r="F224" s="13">
        <v>96</v>
      </c>
      <c r="G224" s="13">
        <v>99</v>
      </c>
      <c r="H224" s="123" t="s">
        <v>115</v>
      </c>
    </row>
    <row r="225" spans="1:8" x14ac:dyDescent="0.25">
      <c r="A225" s="6" t="s">
        <v>3</v>
      </c>
      <c r="B225" s="6">
        <v>6067007001</v>
      </c>
      <c r="C225" s="7">
        <v>70.010000000000005</v>
      </c>
      <c r="D225" s="12" t="s">
        <v>3</v>
      </c>
      <c r="E225" s="13">
        <v>669</v>
      </c>
      <c r="F225" s="13">
        <v>561</v>
      </c>
      <c r="G225" s="13">
        <v>321</v>
      </c>
      <c r="H225" s="123" t="s">
        <v>115</v>
      </c>
    </row>
    <row r="226" spans="1:8" x14ac:dyDescent="0.25">
      <c r="A226" s="6" t="s">
        <v>3</v>
      </c>
      <c r="B226" s="6">
        <v>6067007004</v>
      </c>
      <c r="C226" s="7">
        <v>70.040000000000006</v>
      </c>
      <c r="D226" s="12" t="s">
        <v>3</v>
      </c>
      <c r="E226" s="13">
        <v>207</v>
      </c>
      <c r="F226" s="13">
        <v>33</v>
      </c>
      <c r="G226" s="13">
        <v>228</v>
      </c>
      <c r="H226" s="123" t="s">
        <v>115</v>
      </c>
    </row>
    <row r="227" spans="1:8" x14ac:dyDescent="0.25">
      <c r="A227" s="6" t="s">
        <v>3</v>
      </c>
      <c r="B227" s="6">
        <v>6067007007</v>
      </c>
      <c r="C227" s="7">
        <v>70.069999999999993</v>
      </c>
      <c r="D227" s="12" t="s">
        <v>3</v>
      </c>
      <c r="E227" s="13">
        <v>132</v>
      </c>
      <c r="F227" s="13">
        <v>9</v>
      </c>
      <c r="G227" s="13">
        <v>234</v>
      </c>
      <c r="H227" s="123" t="s">
        <v>115</v>
      </c>
    </row>
    <row r="228" spans="1:8" x14ac:dyDescent="0.25">
      <c r="A228" s="6" t="s">
        <v>3</v>
      </c>
      <c r="B228" s="6">
        <v>6067007010</v>
      </c>
      <c r="C228" s="7">
        <v>70.099999999999994</v>
      </c>
      <c r="D228" s="12" t="s">
        <v>3</v>
      </c>
      <c r="E228" s="13">
        <v>2898</v>
      </c>
      <c r="F228" s="13">
        <v>332</v>
      </c>
      <c r="G228" s="13">
        <v>1097</v>
      </c>
      <c r="H228" s="123" t="s">
        <v>160</v>
      </c>
    </row>
    <row r="229" spans="1:8" x14ac:dyDescent="0.25">
      <c r="A229" s="6" t="s">
        <v>3</v>
      </c>
      <c r="B229" s="6">
        <v>6067007011</v>
      </c>
      <c r="C229" s="7">
        <v>70.11</v>
      </c>
      <c r="D229" s="12" t="s">
        <v>3</v>
      </c>
      <c r="E229" s="13">
        <v>691</v>
      </c>
      <c r="F229" s="13">
        <v>139</v>
      </c>
      <c r="G229" s="13">
        <v>270</v>
      </c>
      <c r="H229" s="123" t="s">
        <v>117</v>
      </c>
    </row>
    <row r="230" spans="1:8" x14ac:dyDescent="0.25">
      <c r="A230" s="6" t="s">
        <v>3</v>
      </c>
      <c r="B230" s="6">
        <v>6067007012</v>
      </c>
      <c r="C230" s="7">
        <v>70.12</v>
      </c>
      <c r="D230" s="12" t="s">
        <v>3</v>
      </c>
      <c r="E230" s="13">
        <v>48</v>
      </c>
      <c r="F230" s="13">
        <v>2</v>
      </c>
      <c r="G230" s="13">
        <v>89</v>
      </c>
      <c r="H230" s="123" t="s">
        <v>117</v>
      </c>
    </row>
    <row r="231" spans="1:8" x14ac:dyDescent="0.25">
      <c r="A231" s="6" t="s">
        <v>3</v>
      </c>
      <c r="B231" s="6">
        <v>6067007013</v>
      </c>
      <c r="C231" s="7">
        <v>70.13</v>
      </c>
      <c r="D231" s="12" t="s">
        <v>3</v>
      </c>
      <c r="E231" s="13">
        <v>11</v>
      </c>
      <c r="F231" s="13">
        <v>26</v>
      </c>
      <c r="G231" s="13">
        <v>3</v>
      </c>
      <c r="H231" s="123" t="s">
        <v>117</v>
      </c>
    </row>
    <row r="232" spans="1:8" x14ac:dyDescent="0.25">
      <c r="A232" s="6" t="s">
        <v>3</v>
      </c>
      <c r="B232" s="6">
        <v>6067007014</v>
      </c>
      <c r="C232" s="7">
        <v>70.14</v>
      </c>
      <c r="D232" s="12" t="s">
        <v>3</v>
      </c>
      <c r="E232" s="13">
        <v>89</v>
      </c>
      <c r="F232" s="13">
        <v>32</v>
      </c>
      <c r="G232" s="13">
        <v>212</v>
      </c>
      <c r="H232" s="123" t="s">
        <v>117</v>
      </c>
    </row>
    <row r="233" spans="1:8" x14ac:dyDescent="0.25">
      <c r="A233" s="6" t="s">
        <v>3</v>
      </c>
      <c r="B233" s="6">
        <v>6067007015</v>
      </c>
      <c r="C233" s="7">
        <v>70.150000000000006</v>
      </c>
      <c r="D233" s="12" t="s">
        <v>3</v>
      </c>
      <c r="E233" s="13">
        <v>116</v>
      </c>
      <c r="F233" s="13">
        <v>31</v>
      </c>
      <c r="G233" s="13">
        <v>130</v>
      </c>
      <c r="H233" s="123" t="s">
        <v>117</v>
      </c>
    </row>
    <row r="234" spans="1:8" x14ac:dyDescent="0.25">
      <c r="A234" s="6" t="s">
        <v>3</v>
      </c>
      <c r="B234" s="6">
        <v>6067007016</v>
      </c>
      <c r="C234" s="7">
        <v>70.16</v>
      </c>
      <c r="D234" s="12" t="s">
        <v>3</v>
      </c>
      <c r="E234" s="13">
        <v>121</v>
      </c>
      <c r="F234" s="13">
        <v>44</v>
      </c>
      <c r="G234" s="13">
        <v>152</v>
      </c>
      <c r="H234" s="123" t="s">
        <v>117</v>
      </c>
    </row>
    <row r="235" spans="1:8" x14ac:dyDescent="0.25">
      <c r="A235" s="6" t="s">
        <v>3</v>
      </c>
      <c r="B235" s="6">
        <v>6067007017</v>
      </c>
      <c r="C235" s="7">
        <v>70.17</v>
      </c>
      <c r="D235" s="12" t="s">
        <v>3</v>
      </c>
      <c r="E235" s="13">
        <v>39</v>
      </c>
      <c r="F235" s="13">
        <v>10</v>
      </c>
      <c r="G235" s="13">
        <v>180</v>
      </c>
      <c r="H235" s="123" t="s">
        <v>117</v>
      </c>
    </row>
    <row r="236" spans="1:8" x14ac:dyDescent="0.25">
      <c r="A236" s="6" t="s">
        <v>3</v>
      </c>
      <c r="B236" s="6">
        <v>6067007018</v>
      </c>
      <c r="C236" s="7">
        <v>70.180000000000007</v>
      </c>
      <c r="D236" s="12" t="s">
        <v>3</v>
      </c>
      <c r="E236" s="13">
        <v>691</v>
      </c>
      <c r="F236" s="13">
        <v>288</v>
      </c>
      <c r="G236" s="13">
        <v>376</v>
      </c>
      <c r="H236" s="123" t="s">
        <v>117</v>
      </c>
    </row>
    <row r="237" spans="1:8" x14ac:dyDescent="0.25">
      <c r="A237" s="6" t="s">
        <v>3</v>
      </c>
      <c r="B237" s="6">
        <v>6067007019</v>
      </c>
      <c r="C237" s="7">
        <v>70.19</v>
      </c>
      <c r="D237" s="12" t="s">
        <v>3</v>
      </c>
      <c r="E237" s="13">
        <v>3728</v>
      </c>
      <c r="F237" s="13">
        <v>2539</v>
      </c>
      <c r="G237" s="13">
        <v>5080</v>
      </c>
      <c r="H237" s="123" t="s">
        <v>161</v>
      </c>
    </row>
    <row r="238" spans="1:8" x14ac:dyDescent="0.25">
      <c r="A238" s="6" t="s">
        <v>3</v>
      </c>
      <c r="B238" s="6">
        <v>6067007020</v>
      </c>
      <c r="C238" s="7">
        <v>70.2</v>
      </c>
      <c r="D238" s="12" t="s">
        <v>3</v>
      </c>
      <c r="E238" s="13">
        <v>4</v>
      </c>
      <c r="F238" s="13">
        <v>3</v>
      </c>
      <c r="G238" s="13">
        <v>12</v>
      </c>
      <c r="H238" s="123" t="s">
        <v>100</v>
      </c>
    </row>
    <row r="239" spans="1:8" x14ac:dyDescent="0.25">
      <c r="A239" s="6" t="s">
        <v>3</v>
      </c>
      <c r="B239" s="6">
        <v>6067007101</v>
      </c>
      <c r="C239" s="7">
        <v>71.010000000000005</v>
      </c>
      <c r="D239" s="12" t="s">
        <v>3</v>
      </c>
      <c r="E239" s="13">
        <v>2643</v>
      </c>
      <c r="F239" s="13">
        <v>3864</v>
      </c>
      <c r="G239" s="13">
        <v>513</v>
      </c>
      <c r="H239" s="123" t="s">
        <v>162</v>
      </c>
    </row>
    <row r="240" spans="1:8" x14ac:dyDescent="0.25">
      <c r="A240" s="6" t="s">
        <v>3</v>
      </c>
      <c r="B240" s="6">
        <v>6067007102</v>
      </c>
      <c r="C240" s="7">
        <v>71.02</v>
      </c>
      <c r="D240" s="12" t="s">
        <v>3</v>
      </c>
      <c r="E240" s="13">
        <v>10</v>
      </c>
      <c r="F240" s="13">
        <v>22</v>
      </c>
      <c r="G240" s="13">
        <v>22</v>
      </c>
      <c r="H240" s="123" t="s">
        <v>100</v>
      </c>
    </row>
    <row r="241" spans="1:8" x14ac:dyDescent="0.25">
      <c r="A241" s="6" t="s">
        <v>3</v>
      </c>
      <c r="B241" s="6">
        <v>6067007103</v>
      </c>
      <c r="C241" s="7">
        <v>71.03</v>
      </c>
      <c r="D241" s="12" t="s">
        <v>3</v>
      </c>
      <c r="E241" s="13">
        <v>296</v>
      </c>
      <c r="F241" s="13">
        <v>17</v>
      </c>
      <c r="G241" s="13">
        <v>510</v>
      </c>
      <c r="H241" s="123" t="s">
        <v>100</v>
      </c>
    </row>
    <row r="242" spans="1:8" x14ac:dyDescent="0.25">
      <c r="A242" s="6" t="s">
        <v>3</v>
      </c>
      <c r="B242" s="6">
        <v>6067007104</v>
      </c>
      <c r="C242" s="7">
        <v>71.040000000000006</v>
      </c>
      <c r="D242" s="12" t="s">
        <v>3</v>
      </c>
      <c r="E242" s="13">
        <v>33</v>
      </c>
      <c r="F242" s="13">
        <v>30</v>
      </c>
      <c r="G242" s="13">
        <v>81</v>
      </c>
      <c r="H242" s="123" t="s">
        <v>100</v>
      </c>
    </row>
    <row r="243" spans="1:8" x14ac:dyDescent="0.25">
      <c r="A243" s="6" t="s">
        <v>3</v>
      </c>
      <c r="B243" s="6">
        <v>6067007105</v>
      </c>
      <c r="C243" s="7">
        <v>71.05</v>
      </c>
      <c r="D243" s="12" t="s">
        <v>3</v>
      </c>
      <c r="E243" s="13">
        <v>73</v>
      </c>
      <c r="F243" s="13">
        <v>34</v>
      </c>
      <c r="G243" s="13">
        <v>125</v>
      </c>
      <c r="H243" s="123" t="s">
        <v>100</v>
      </c>
    </row>
    <row r="244" spans="1:8" x14ac:dyDescent="0.25">
      <c r="A244" s="6" t="s">
        <v>3</v>
      </c>
      <c r="B244" s="6">
        <v>6067007106</v>
      </c>
      <c r="C244" s="7">
        <v>71.06</v>
      </c>
      <c r="D244" s="12" t="s">
        <v>3</v>
      </c>
      <c r="E244" s="13">
        <v>140</v>
      </c>
      <c r="F244" s="13">
        <v>58</v>
      </c>
      <c r="G244" s="13">
        <v>480</v>
      </c>
      <c r="H244" s="123" t="s">
        <v>100</v>
      </c>
    </row>
    <row r="245" spans="1:8" x14ac:dyDescent="0.25">
      <c r="A245" s="6" t="s">
        <v>3</v>
      </c>
      <c r="B245" s="6">
        <v>6067007107</v>
      </c>
      <c r="C245" s="7">
        <v>71.069999999999993</v>
      </c>
      <c r="D245" s="12" t="s">
        <v>3</v>
      </c>
      <c r="E245" s="13">
        <v>35</v>
      </c>
      <c r="F245" s="13">
        <v>55</v>
      </c>
      <c r="G245" s="13">
        <v>47</v>
      </c>
      <c r="H245" s="123" t="s">
        <v>100</v>
      </c>
    </row>
    <row r="246" spans="1:8" x14ac:dyDescent="0.25">
      <c r="A246" s="6" t="s">
        <v>3</v>
      </c>
      <c r="B246" s="6">
        <v>6067007202</v>
      </c>
      <c r="C246" s="7">
        <v>72.02</v>
      </c>
      <c r="D246" s="12" t="s">
        <v>38</v>
      </c>
      <c r="E246" s="13">
        <v>43</v>
      </c>
      <c r="F246" s="13">
        <v>163</v>
      </c>
      <c r="G246" s="13">
        <v>101</v>
      </c>
      <c r="H246" s="123" t="s">
        <v>100</v>
      </c>
    </row>
    <row r="247" spans="1:8" x14ac:dyDescent="0.25">
      <c r="A247" s="6" t="s">
        <v>3</v>
      </c>
      <c r="B247" s="6">
        <v>6067007204</v>
      </c>
      <c r="C247" s="7">
        <v>72.040000000000006</v>
      </c>
      <c r="D247" s="12" t="s">
        <v>3</v>
      </c>
      <c r="E247" s="13">
        <v>251</v>
      </c>
      <c r="F247" s="13">
        <v>642</v>
      </c>
      <c r="G247" s="13">
        <v>412</v>
      </c>
      <c r="H247" s="123" t="s">
        <v>100</v>
      </c>
    </row>
    <row r="248" spans="1:8" x14ac:dyDescent="0.25">
      <c r="A248" s="6" t="s">
        <v>3</v>
      </c>
      <c r="B248" s="6">
        <v>6067007206</v>
      </c>
      <c r="C248" s="7">
        <v>72.06</v>
      </c>
      <c r="D248" s="12" t="s">
        <v>39</v>
      </c>
      <c r="E248" s="13">
        <v>13</v>
      </c>
      <c r="F248" s="13">
        <v>51</v>
      </c>
      <c r="G248" s="13">
        <v>33</v>
      </c>
      <c r="H248" s="123" t="s">
        <v>136</v>
      </c>
    </row>
    <row r="249" spans="1:8" x14ac:dyDescent="0.25">
      <c r="A249" s="6" t="s">
        <v>3</v>
      </c>
      <c r="B249" s="6">
        <v>6067007207</v>
      </c>
      <c r="C249" s="7">
        <v>72.069999999999993</v>
      </c>
      <c r="D249" s="12" t="s">
        <v>39</v>
      </c>
      <c r="E249" s="13">
        <v>16</v>
      </c>
      <c r="F249" s="13">
        <v>92</v>
      </c>
      <c r="G249" s="13">
        <v>13</v>
      </c>
      <c r="H249" s="123" t="s">
        <v>136</v>
      </c>
    </row>
    <row r="250" spans="1:8" x14ac:dyDescent="0.25">
      <c r="A250" s="6" t="s">
        <v>3</v>
      </c>
      <c r="B250" s="6">
        <v>6067007208</v>
      </c>
      <c r="C250" s="7">
        <v>72.08</v>
      </c>
      <c r="D250" s="12" t="s">
        <v>38</v>
      </c>
      <c r="E250" s="13">
        <v>45</v>
      </c>
      <c r="F250" s="13">
        <v>28</v>
      </c>
      <c r="G250" s="13">
        <v>130</v>
      </c>
      <c r="H250" s="123" t="s">
        <v>136</v>
      </c>
    </row>
    <row r="251" spans="1:8" x14ac:dyDescent="0.25">
      <c r="A251" s="6" t="s">
        <v>3</v>
      </c>
      <c r="B251" s="6">
        <v>6067007209</v>
      </c>
      <c r="C251" s="7">
        <v>72.09</v>
      </c>
      <c r="D251" s="12" t="s">
        <v>38</v>
      </c>
      <c r="E251" s="13">
        <v>27</v>
      </c>
      <c r="F251" s="13">
        <v>101</v>
      </c>
      <c r="G251" s="13">
        <v>62</v>
      </c>
      <c r="H251" s="123" t="s">
        <v>136</v>
      </c>
    </row>
    <row r="252" spans="1:8" x14ac:dyDescent="0.25">
      <c r="A252" s="6" t="s">
        <v>3</v>
      </c>
      <c r="B252" s="6">
        <v>6067007301</v>
      </c>
      <c r="C252" s="7">
        <v>73.010000000000005</v>
      </c>
      <c r="D252" s="12" t="s">
        <v>40</v>
      </c>
      <c r="E252" s="13">
        <v>1442</v>
      </c>
      <c r="F252" s="13">
        <v>2288</v>
      </c>
      <c r="G252" s="13">
        <v>1222</v>
      </c>
      <c r="H252" s="123" t="s">
        <v>163</v>
      </c>
    </row>
    <row r="253" spans="1:8" x14ac:dyDescent="0.25">
      <c r="A253" s="6" t="s">
        <v>3</v>
      </c>
      <c r="B253" s="6">
        <v>6067007402</v>
      </c>
      <c r="C253" s="7">
        <v>74.02</v>
      </c>
      <c r="D253" s="12" t="s">
        <v>41</v>
      </c>
      <c r="E253" s="13">
        <v>429</v>
      </c>
      <c r="F253" s="13">
        <v>639</v>
      </c>
      <c r="G253" s="13">
        <v>96</v>
      </c>
      <c r="H253" s="123" t="s">
        <v>115</v>
      </c>
    </row>
    <row r="254" spans="1:8" x14ac:dyDescent="0.25">
      <c r="A254" s="6" t="s">
        <v>3</v>
      </c>
      <c r="B254" s="6">
        <v>6067007403</v>
      </c>
      <c r="C254" s="7">
        <v>74.03</v>
      </c>
      <c r="D254" s="12" t="s">
        <v>41</v>
      </c>
      <c r="E254" s="13">
        <v>88</v>
      </c>
      <c r="F254" s="13">
        <v>308</v>
      </c>
      <c r="G254" s="13">
        <v>144</v>
      </c>
      <c r="H254" s="123" t="s">
        <v>115</v>
      </c>
    </row>
    <row r="255" spans="1:8" x14ac:dyDescent="0.25">
      <c r="A255" s="6" t="s">
        <v>3</v>
      </c>
      <c r="B255" s="6">
        <v>6067007406</v>
      </c>
      <c r="C255" s="7">
        <v>74.06</v>
      </c>
      <c r="D255" s="12" t="s">
        <v>41</v>
      </c>
      <c r="E255" s="13">
        <v>199</v>
      </c>
      <c r="F255" s="13">
        <v>251</v>
      </c>
      <c r="G255" s="13">
        <v>314</v>
      </c>
      <c r="H255" s="123" t="s">
        <v>115</v>
      </c>
    </row>
    <row r="256" spans="1:8" x14ac:dyDescent="0.25">
      <c r="A256" s="6" t="s">
        <v>3</v>
      </c>
      <c r="B256" s="6">
        <v>6067007413</v>
      </c>
      <c r="C256" s="7">
        <v>74.13</v>
      </c>
      <c r="D256" s="12" t="s">
        <v>3</v>
      </c>
      <c r="E256" s="13">
        <v>465</v>
      </c>
      <c r="F256" s="13">
        <v>557</v>
      </c>
      <c r="G256" s="13">
        <v>566</v>
      </c>
      <c r="H256" s="123" t="s">
        <v>115</v>
      </c>
    </row>
    <row r="257" spans="1:8" x14ac:dyDescent="0.25">
      <c r="A257" s="6" t="s">
        <v>3</v>
      </c>
      <c r="B257" s="6">
        <v>6067007414</v>
      </c>
      <c r="C257" s="7">
        <v>74.14</v>
      </c>
      <c r="D257" s="12" t="s">
        <v>41</v>
      </c>
      <c r="E257" s="13">
        <v>12</v>
      </c>
      <c r="F257" s="13">
        <v>14</v>
      </c>
      <c r="G257" s="13">
        <v>19</v>
      </c>
      <c r="H257" s="123" t="s">
        <v>115</v>
      </c>
    </row>
    <row r="258" spans="1:8" x14ac:dyDescent="0.25">
      <c r="A258" s="6" t="s">
        <v>3</v>
      </c>
      <c r="B258" s="6">
        <v>6067007415</v>
      </c>
      <c r="C258" s="7">
        <v>74.150000000000006</v>
      </c>
      <c r="D258" s="12" t="s">
        <v>3</v>
      </c>
      <c r="E258" s="13">
        <v>6</v>
      </c>
      <c r="F258" s="13">
        <v>6</v>
      </c>
      <c r="G258" s="13">
        <v>0</v>
      </c>
      <c r="H258" s="123" t="s">
        <v>115</v>
      </c>
    </row>
    <row r="259" spans="1:8" x14ac:dyDescent="0.25">
      <c r="A259" s="6" t="s">
        <v>3</v>
      </c>
      <c r="B259" s="6">
        <v>6067007416</v>
      </c>
      <c r="C259" s="7">
        <v>74.16</v>
      </c>
      <c r="D259" s="12" t="s">
        <v>3</v>
      </c>
      <c r="E259" s="13">
        <v>4</v>
      </c>
      <c r="F259" s="13">
        <v>29</v>
      </c>
      <c r="G259" s="13">
        <v>3</v>
      </c>
      <c r="H259" s="123" t="s">
        <v>115</v>
      </c>
    </row>
    <row r="260" spans="1:8" x14ac:dyDescent="0.25">
      <c r="A260" s="6" t="s">
        <v>3</v>
      </c>
      <c r="B260" s="6">
        <v>6067007417</v>
      </c>
      <c r="C260" s="7">
        <v>74.17</v>
      </c>
      <c r="D260" s="12" t="s">
        <v>42</v>
      </c>
      <c r="E260" s="13">
        <v>188</v>
      </c>
      <c r="F260" s="13">
        <v>19</v>
      </c>
      <c r="G260" s="13">
        <v>447</v>
      </c>
      <c r="H260" s="123" t="s">
        <v>115</v>
      </c>
    </row>
    <row r="261" spans="1:8" x14ac:dyDescent="0.25">
      <c r="A261" s="6" t="s">
        <v>3</v>
      </c>
      <c r="B261" s="6">
        <v>6067007421</v>
      </c>
      <c r="C261" s="7">
        <v>74.209999999999994</v>
      </c>
      <c r="D261" s="12" t="s">
        <v>42</v>
      </c>
      <c r="E261" s="13">
        <v>88</v>
      </c>
      <c r="F261" s="13">
        <v>263</v>
      </c>
      <c r="G261" s="13">
        <v>85</v>
      </c>
      <c r="H261" s="123" t="s">
        <v>115</v>
      </c>
    </row>
    <row r="262" spans="1:8" x14ac:dyDescent="0.25">
      <c r="A262" s="6" t="s">
        <v>3</v>
      </c>
      <c r="B262" s="6">
        <v>6067007422</v>
      </c>
      <c r="C262" s="7">
        <v>74.22</v>
      </c>
      <c r="D262" s="12" t="s">
        <v>3</v>
      </c>
      <c r="E262" s="13">
        <v>405</v>
      </c>
      <c r="F262" s="13">
        <v>600</v>
      </c>
      <c r="G262" s="13">
        <v>133</v>
      </c>
      <c r="H262" s="123" t="s">
        <v>115</v>
      </c>
    </row>
    <row r="263" spans="1:8" x14ac:dyDescent="0.25">
      <c r="A263" s="6" t="s">
        <v>3</v>
      </c>
      <c r="B263" s="6">
        <v>6067007423</v>
      </c>
      <c r="C263" s="7">
        <v>74.23</v>
      </c>
      <c r="D263" s="12" t="s">
        <v>3</v>
      </c>
      <c r="E263" s="13">
        <v>88</v>
      </c>
      <c r="F263" s="13">
        <v>102</v>
      </c>
      <c r="G263" s="13">
        <v>107</v>
      </c>
      <c r="H263" s="123" t="s">
        <v>115</v>
      </c>
    </row>
    <row r="264" spans="1:8" x14ac:dyDescent="0.25">
      <c r="A264" s="6" t="s">
        <v>3</v>
      </c>
      <c r="B264" s="6">
        <v>6067007424</v>
      </c>
      <c r="C264" s="7">
        <v>74.239999999999995</v>
      </c>
      <c r="D264" s="12" t="s">
        <v>41</v>
      </c>
      <c r="E264" s="13">
        <v>37</v>
      </c>
      <c r="F264" s="13">
        <v>167</v>
      </c>
      <c r="G264" s="13">
        <v>68</v>
      </c>
      <c r="H264" s="123" t="s">
        <v>115</v>
      </c>
    </row>
    <row r="265" spans="1:8" x14ac:dyDescent="0.25">
      <c r="A265" s="6" t="s">
        <v>3</v>
      </c>
      <c r="B265" s="6">
        <v>6067007426</v>
      </c>
      <c r="C265" s="7">
        <v>74.260000000000005</v>
      </c>
      <c r="D265" s="12" t="s">
        <v>42</v>
      </c>
      <c r="E265" s="13">
        <v>2</v>
      </c>
      <c r="F265" s="13">
        <v>15</v>
      </c>
      <c r="G265" s="13">
        <v>0</v>
      </c>
      <c r="H265" s="123" t="s">
        <v>115</v>
      </c>
    </row>
    <row r="266" spans="1:8" x14ac:dyDescent="0.25">
      <c r="A266" s="6" t="s">
        <v>3</v>
      </c>
      <c r="B266" s="6">
        <v>6067007427</v>
      </c>
      <c r="C266" s="7">
        <v>74.27</v>
      </c>
      <c r="D266" s="12" t="s">
        <v>42</v>
      </c>
      <c r="E266" s="13">
        <v>76</v>
      </c>
      <c r="F266" s="13">
        <v>87</v>
      </c>
      <c r="G266" s="13">
        <v>145</v>
      </c>
      <c r="H266" s="123" t="s">
        <v>115</v>
      </c>
    </row>
    <row r="267" spans="1:8" x14ac:dyDescent="0.25">
      <c r="A267" s="6" t="s">
        <v>3</v>
      </c>
      <c r="B267" s="6">
        <v>6067007428</v>
      </c>
      <c r="C267" s="7">
        <v>74.28</v>
      </c>
      <c r="D267" s="12" t="s">
        <v>3</v>
      </c>
      <c r="E267" s="13">
        <v>33</v>
      </c>
      <c r="F267" s="13">
        <v>17</v>
      </c>
      <c r="G267" s="13">
        <v>87</v>
      </c>
      <c r="H267" s="123" t="s">
        <v>115</v>
      </c>
    </row>
    <row r="268" spans="1:8" x14ac:dyDescent="0.25">
      <c r="A268" s="6" t="s">
        <v>3</v>
      </c>
      <c r="B268" s="6">
        <v>6067007429</v>
      </c>
      <c r="C268" s="7">
        <v>74.290000000000006</v>
      </c>
      <c r="D268" s="12" t="s">
        <v>3</v>
      </c>
      <c r="E268" s="13">
        <v>45</v>
      </c>
      <c r="F268" s="13">
        <v>37</v>
      </c>
      <c r="G268" s="13">
        <v>169</v>
      </c>
      <c r="H268" s="123" t="s">
        <v>115</v>
      </c>
    </row>
    <row r="269" spans="1:8" x14ac:dyDescent="0.25">
      <c r="A269" s="6" t="s">
        <v>3</v>
      </c>
      <c r="B269" s="6">
        <v>6067007430</v>
      </c>
      <c r="C269" s="7">
        <v>74.3</v>
      </c>
      <c r="D269" s="12" t="s">
        <v>42</v>
      </c>
      <c r="E269" s="13">
        <v>168</v>
      </c>
      <c r="F269" s="13">
        <v>59</v>
      </c>
      <c r="G269" s="13">
        <v>352</v>
      </c>
      <c r="H269" s="123" t="s">
        <v>115</v>
      </c>
    </row>
    <row r="270" spans="1:8" x14ac:dyDescent="0.25">
      <c r="A270" s="6" t="s">
        <v>3</v>
      </c>
      <c r="B270" s="6">
        <v>6067007431</v>
      </c>
      <c r="C270" s="7">
        <v>74.31</v>
      </c>
      <c r="D270" s="12" t="s">
        <v>42</v>
      </c>
      <c r="E270" s="13">
        <v>9</v>
      </c>
      <c r="F270" s="13">
        <v>21</v>
      </c>
      <c r="G270" s="13">
        <v>0</v>
      </c>
      <c r="H270" s="123" t="s">
        <v>115</v>
      </c>
    </row>
    <row r="271" spans="1:8" x14ac:dyDescent="0.25">
      <c r="A271" s="6" t="s">
        <v>3</v>
      </c>
      <c r="B271" s="6">
        <v>6067007432</v>
      </c>
      <c r="C271" s="7">
        <v>74.319999999999993</v>
      </c>
      <c r="D271" s="12" t="s">
        <v>42</v>
      </c>
      <c r="E271" s="13">
        <v>17</v>
      </c>
      <c r="F271" s="13">
        <v>28</v>
      </c>
      <c r="G271" s="13">
        <v>1</v>
      </c>
      <c r="H271" s="123" t="s">
        <v>115</v>
      </c>
    </row>
    <row r="272" spans="1:8" x14ac:dyDescent="0.25">
      <c r="A272" s="6" t="s">
        <v>3</v>
      </c>
      <c r="B272" s="6">
        <v>6067007433</v>
      </c>
      <c r="C272" s="7">
        <v>74.33</v>
      </c>
      <c r="D272" s="12" t="s">
        <v>42</v>
      </c>
      <c r="E272" s="13">
        <v>122</v>
      </c>
      <c r="F272" s="13">
        <v>39</v>
      </c>
      <c r="G272" s="13">
        <v>372</v>
      </c>
      <c r="H272" s="123" t="s">
        <v>115</v>
      </c>
    </row>
    <row r="273" spans="1:8" x14ac:dyDescent="0.25">
      <c r="A273" s="6" t="s">
        <v>3</v>
      </c>
      <c r="B273" s="6">
        <v>6067007501</v>
      </c>
      <c r="C273" s="7">
        <v>75.010000000000005</v>
      </c>
      <c r="D273" s="12" t="s">
        <v>3</v>
      </c>
      <c r="E273" s="13">
        <v>475</v>
      </c>
      <c r="F273" s="13">
        <v>222</v>
      </c>
      <c r="G273" s="13">
        <v>959</v>
      </c>
      <c r="H273" s="123" t="s">
        <v>115</v>
      </c>
    </row>
    <row r="274" spans="1:8" x14ac:dyDescent="0.25">
      <c r="A274" s="6" t="s">
        <v>3</v>
      </c>
      <c r="B274" s="6">
        <v>6067007503</v>
      </c>
      <c r="C274" s="7">
        <v>75.03</v>
      </c>
      <c r="D274" s="12" t="s">
        <v>3</v>
      </c>
      <c r="E274" s="13">
        <v>268</v>
      </c>
      <c r="F274" s="13">
        <v>101</v>
      </c>
      <c r="G274" s="13">
        <v>454</v>
      </c>
      <c r="H274" s="123" t="s">
        <v>115</v>
      </c>
    </row>
    <row r="275" spans="1:8" x14ac:dyDescent="0.25">
      <c r="A275" s="6" t="s">
        <v>3</v>
      </c>
      <c r="B275" s="6">
        <v>6067007504</v>
      </c>
      <c r="C275" s="7">
        <v>75.040000000000006</v>
      </c>
      <c r="D275" s="12" t="s">
        <v>3</v>
      </c>
      <c r="E275" s="13">
        <v>273</v>
      </c>
      <c r="F275" s="13">
        <v>350</v>
      </c>
      <c r="G275" s="13">
        <v>381</v>
      </c>
      <c r="H275" s="123" t="s">
        <v>115</v>
      </c>
    </row>
    <row r="276" spans="1:8" x14ac:dyDescent="0.25">
      <c r="A276" s="6" t="s">
        <v>3</v>
      </c>
      <c r="B276" s="6">
        <v>6067007601</v>
      </c>
      <c r="C276" s="7">
        <v>76.010000000000005</v>
      </c>
      <c r="D276" s="12" t="s">
        <v>37</v>
      </c>
      <c r="E276" s="13">
        <v>144</v>
      </c>
      <c r="F276" s="13">
        <f>13+6</f>
        <v>19</v>
      </c>
      <c r="G276" s="13">
        <f>90+285+29</f>
        <v>404</v>
      </c>
      <c r="H276" s="123" t="s">
        <v>118</v>
      </c>
    </row>
    <row r="277" spans="1:8" x14ac:dyDescent="0.25">
      <c r="A277" s="6" t="s">
        <v>3</v>
      </c>
      <c r="B277" s="6">
        <v>6067007602</v>
      </c>
      <c r="C277" s="7">
        <v>76.02</v>
      </c>
      <c r="D277" s="12" t="s">
        <v>37</v>
      </c>
      <c r="E277" s="13">
        <v>535</v>
      </c>
      <c r="F277" s="13">
        <f>44+8+3</f>
        <v>55</v>
      </c>
      <c r="G277" s="13">
        <f>2+194+64+45</f>
        <v>305</v>
      </c>
      <c r="H277" s="123" t="s">
        <v>118</v>
      </c>
    </row>
    <row r="278" spans="1:8" x14ac:dyDescent="0.25">
      <c r="A278" s="6" t="s">
        <v>3</v>
      </c>
      <c r="B278" s="6">
        <v>6067007701</v>
      </c>
      <c r="C278" s="7">
        <v>77.010000000000005</v>
      </c>
      <c r="D278" s="12" t="s">
        <v>37</v>
      </c>
      <c r="E278" s="13">
        <v>67</v>
      </c>
      <c r="F278" s="13">
        <f>119+8</f>
        <v>127</v>
      </c>
      <c r="G278" s="13">
        <f>22+92+21+201</f>
        <v>336</v>
      </c>
      <c r="H278" s="123" t="s">
        <v>118</v>
      </c>
    </row>
    <row r="279" spans="1:8" x14ac:dyDescent="0.25">
      <c r="A279" s="6" t="s">
        <v>3</v>
      </c>
      <c r="B279" s="6">
        <v>6067007702</v>
      </c>
      <c r="C279" s="7">
        <v>77.02</v>
      </c>
      <c r="D279" s="12" t="s">
        <v>37</v>
      </c>
      <c r="E279" s="13">
        <v>169</v>
      </c>
      <c r="F279" s="13">
        <f>9+6+3</f>
        <v>18</v>
      </c>
      <c r="G279" s="13">
        <f>1+134+17+32</f>
        <v>184</v>
      </c>
      <c r="H279" s="123" t="s">
        <v>118</v>
      </c>
    </row>
    <row r="280" spans="1:8" x14ac:dyDescent="0.25">
      <c r="A280" s="6" t="s">
        <v>3</v>
      </c>
      <c r="B280" s="6">
        <v>6067007801</v>
      </c>
      <c r="C280" s="7">
        <v>78.010000000000005</v>
      </c>
      <c r="D280" s="12" t="s">
        <v>37</v>
      </c>
      <c r="E280" s="13">
        <v>287</v>
      </c>
      <c r="F280" s="13">
        <f>211+17+2</f>
        <v>230</v>
      </c>
      <c r="G280" s="13">
        <f>16+126+5+66</f>
        <v>213</v>
      </c>
      <c r="H280" s="123" t="s">
        <v>118</v>
      </c>
    </row>
    <row r="281" spans="1:8" x14ac:dyDescent="0.25">
      <c r="A281" s="6" t="s">
        <v>3</v>
      </c>
      <c r="B281" s="6">
        <v>6067007802</v>
      </c>
      <c r="C281" s="7">
        <v>78.02</v>
      </c>
      <c r="D281" s="12" t="s">
        <v>37</v>
      </c>
      <c r="E281" s="13">
        <v>128</v>
      </c>
      <c r="F281" s="13">
        <f>40+4+10</f>
        <v>54</v>
      </c>
      <c r="G281" s="13">
        <f>68+13+19</f>
        <v>100</v>
      </c>
      <c r="H281" s="123" t="s">
        <v>118</v>
      </c>
    </row>
    <row r="282" spans="1:8" x14ac:dyDescent="0.25">
      <c r="A282" s="6" t="s">
        <v>3</v>
      </c>
      <c r="B282" s="6">
        <v>6067007903</v>
      </c>
      <c r="C282" s="7">
        <v>79.03</v>
      </c>
      <c r="D282" s="12" t="s">
        <v>37</v>
      </c>
      <c r="E282" s="13">
        <v>136</v>
      </c>
      <c r="F282" s="13">
        <f>29+7+7</f>
        <v>43</v>
      </c>
      <c r="G282" s="13">
        <f>232+25+8</f>
        <v>265</v>
      </c>
      <c r="H282" s="123" t="s">
        <v>118</v>
      </c>
    </row>
    <row r="283" spans="1:8" x14ac:dyDescent="0.25">
      <c r="A283" s="6" t="s">
        <v>3</v>
      </c>
      <c r="B283" s="6">
        <v>6067007904</v>
      </c>
      <c r="C283" s="7">
        <v>79.040000000000006</v>
      </c>
      <c r="D283" s="12" t="s">
        <v>43</v>
      </c>
      <c r="E283" s="13">
        <v>70</v>
      </c>
      <c r="F283" s="13">
        <f>15+6</f>
        <v>21</v>
      </c>
      <c r="G283" s="13">
        <f>8+15+3+3</f>
        <v>29</v>
      </c>
      <c r="H283" s="123" t="s">
        <v>118</v>
      </c>
    </row>
    <row r="284" spans="1:8" x14ac:dyDescent="0.25">
      <c r="A284" s="6" t="s">
        <v>3</v>
      </c>
      <c r="B284" s="6">
        <v>6067007905</v>
      </c>
      <c r="C284" s="7">
        <v>79.05</v>
      </c>
      <c r="D284" s="12" t="s">
        <v>37</v>
      </c>
      <c r="E284" s="13">
        <v>14</v>
      </c>
      <c r="F284" s="13">
        <f>38+1+0</f>
        <v>39</v>
      </c>
      <c r="G284" s="13">
        <f>3+9+6</f>
        <v>18</v>
      </c>
      <c r="H284" s="123" t="s">
        <v>118</v>
      </c>
    </row>
    <row r="285" spans="1:8" x14ac:dyDescent="0.25">
      <c r="A285" s="6" t="s">
        <v>3</v>
      </c>
      <c r="B285" s="6">
        <v>6067007906</v>
      </c>
      <c r="C285" s="7">
        <v>79.06</v>
      </c>
      <c r="D285" s="12" t="s">
        <v>37</v>
      </c>
      <c r="E285" s="13">
        <v>84</v>
      </c>
      <c r="F285" s="13">
        <f>59+3+3</f>
        <v>65</v>
      </c>
      <c r="G285" s="13">
        <f>3+168+29+20</f>
        <v>220</v>
      </c>
      <c r="H285" s="123" t="s">
        <v>118</v>
      </c>
    </row>
    <row r="286" spans="1:8" x14ac:dyDescent="0.25">
      <c r="A286" s="6" t="s">
        <v>3</v>
      </c>
      <c r="B286" s="6">
        <v>6067008005</v>
      </c>
      <c r="C286" s="7">
        <v>80.05</v>
      </c>
      <c r="D286" s="12" t="s">
        <v>43</v>
      </c>
      <c r="E286" s="13">
        <v>75</v>
      </c>
      <c r="F286" s="13">
        <f>38+8</f>
        <v>46</v>
      </c>
      <c r="G286" s="13">
        <f>3+7+13</f>
        <v>23</v>
      </c>
      <c r="H286" s="123" t="s">
        <v>118</v>
      </c>
    </row>
    <row r="287" spans="1:8" x14ac:dyDescent="0.25">
      <c r="A287" s="6" t="s">
        <v>3</v>
      </c>
      <c r="B287" s="6">
        <v>6067008006</v>
      </c>
      <c r="C287" s="7">
        <v>80.06</v>
      </c>
      <c r="D287" s="12" t="s">
        <v>43</v>
      </c>
      <c r="E287" s="13">
        <v>170</v>
      </c>
      <c r="F287" s="13">
        <f>36+9</f>
        <v>45</v>
      </c>
      <c r="G287" s="13">
        <f>13+278+11+11</f>
        <v>313</v>
      </c>
      <c r="H287" s="123" t="s">
        <v>118</v>
      </c>
    </row>
    <row r="288" spans="1:8" x14ac:dyDescent="0.25">
      <c r="A288" s="6" t="s">
        <v>3</v>
      </c>
      <c r="B288" s="6">
        <v>6067008007</v>
      </c>
      <c r="C288" s="7">
        <v>80.069999999999993</v>
      </c>
      <c r="D288" s="12" t="s">
        <v>43</v>
      </c>
      <c r="E288" s="13">
        <v>138</v>
      </c>
      <c r="F288" s="13">
        <f>6+0</f>
        <v>6</v>
      </c>
      <c r="G288" s="13">
        <f>15+159+9+52</f>
        <v>235</v>
      </c>
      <c r="H288" s="123" t="s">
        <v>118</v>
      </c>
    </row>
    <row r="289" spans="1:8" x14ac:dyDescent="0.25">
      <c r="A289" s="6" t="s">
        <v>3</v>
      </c>
      <c r="B289" s="6">
        <v>6067008008</v>
      </c>
      <c r="C289" s="7">
        <v>80.08</v>
      </c>
      <c r="D289" s="12" t="s">
        <v>43</v>
      </c>
      <c r="E289" s="13">
        <v>76</v>
      </c>
      <c r="F289" s="13">
        <f>32+2+11</f>
        <v>45</v>
      </c>
      <c r="G289" s="13">
        <f>6+10+130+23</f>
        <v>169</v>
      </c>
      <c r="H289" s="123" t="s">
        <v>118</v>
      </c>
    </row>
    <row r="290" spans="1:8" x14ac:dyDescent="0.25">
      <c r="A290" s="6" t="s">
        <v>3</v>
      </c>
      <c r="B290" s="6">
        <v>6067008009</v>
      </c>
      <c r="C290" s="7">
        <v>80.09</v>
      </c>
      <c r="D290" s="12" t="s">
        <v>43</v>
      </c>
      <c r="E290" s="13">
        <v>220</v>
      </c>
      <c r="F290" s="13">
        <f>11+117+3</f>
        <v>131</v>
      </c>
      <c r="G290" s="13">
        <f>21+47+21+57</f>
        <v>146</v>
      </c>
      <c r="H290" s="123" t="s">
        <v>118</v>
      </c>
    </row>
    <row r="291" spans="1:8" x14ac:dyDescent="0.25">
      <c r="A291" s="6" t="s">
        <v>3</v>
      </c>
      <c r="B291" s="6">
        <v>6067008010</v>
      </c>
      <c r="C291" s="7">
        <v>80.099999999999994</v>
      </c>
      <c r="D291" s="12" t="s">
        <v>43</v>
      </c>
      <c r="E291" s="13">
        <v>109</v>
      </c>
      <c r="F291" s="13">
        <f>26+10+2</f>
        <v>38</v>
      </c>
      <c r="G291" s="13">
        <f>1+152+86+58</f>
        <v>297</v>
      </c>
      <c r="H291" s="123" t="s">
        <v>118</v>
      </c>
    </row>
    <row r="292" spans="1:8" x14ac:dyDescent="0.25">
      <c r="A292" s="6" t="s">
        <v>3</v>
      </c>
      <c r="B292" s="6">
        <v>6067008111</v>
      </c>
      <c r="C292" s="7">
        <v>81.11</v>
      </c>
      <c r="D292" s="12" t="s">
        <v>44</v>
      </c>
      <c r="E292" s="13">
        <v>22</v>
      </c>
      <c r="F292" s="13">
        <f>19+0</f>
        <v>19</v>
      </c>
      <c r="G292" s="13">
        <f>19+17+3+24</f>
        <v>63</v>
      </c>
      <c r="H292" s="123" t="s">
        <v>100</v>
      </c>
    </row>
    <row r="293" spans="1:8" x14ac:dyDescent="0.25">
      <c r="A293" s="6" t="s">
        <v>3</v>
      </c>
      <c r="B293" s="6">
        <v>6067008113</v>
      </c>
      <c r="C293" s="7">
        <v>81.13</v>
      </c>
      <c r="D293" s="12" t="s">
        <v>44</v>
      </c>
      <c r="E293" s="13">
        <v>92</v>
      </c>
      <c r="F293" s="13">
        <f>30+0</f>
        <v>30</v>
      </c>
      <c r="G293" s="13">
        <f>38+64+24+23</f>
        <v>149</v>
      </c>
      <c r="H293" s="123" t="s">
        <v>100</v>
      </c>
    </row>
    <row r="294" spans="1:8" x14ac:dyDescent="0.25">
      <c r="A294" s="6" t="s">
        <v>3</v>
      </c>
      <c r="B294" s="6">
        <v>6067008117</v>
      </c>
      <c r="C294" s="7">
        <v>81.17</v>
      </c>
      <c r="D294" s="12" t="s">
        <v>37</v>
      </c>
      <c r="E294" s="13">
        <v>187</v>
      </c>
      <c r="F294" s="13">
        <f>8+0</f>
        <v>8</v>
      </c>
      <c r="G294" s="13">
        <f>10+352+47+30</f>
        <v>439</v>
      </c>
      <c r="H294" s="123" t="s">
        <v>100</v>
      </c>
    </row>
    <row r="295" spans="1:8" x14ac:dyDescent="0.25">
      <c r="A295" s="6" t="s">
        <v>3</v>
      </c>
      <c r="B295" s="6">
        <v>6067008119</v>
      </c>
      <c r="C295" s="7">
        <v>81.19</v>
      </c>
      <c r="D295" s="12" t="s">
        <v>43</v>
      </c>
      <c r="E295" s="13">
        <v>173</v>
      </c>
      <c r="F295" s="13">
        <f>29</f>
        <v>29</v>
      </c>
      <c r="G295" s="13">
        <f>324+2+36</f>
        <v>362</v>
      </c>
      <c r="H295" s="123" t="s">
        <v>100</v>
      </c>
    </row>
    <row r="296" spans="1:8" x14ac:dyDescent="0.25">
      <c r="A296" s="6" t="s">
        <v>3</v>
      </c>
      <c r="B296" s="6">
        <v>6067008120</v>
      </c>
      <c r="C296" s="7">
        <v>81.2</v>
      </c>
      <c r="D296" s="12" t="s">
        <v>44</v>
      </c>
      <c r="E296" s="13">
        <v>291</v>
      </c>
      <c r="F296" s="13">
        <f>5+2+3</f>
        <v>10</v>
      </c>
      <c r="G296" s="13">
        <f>5+453+0+14</f>
        <v>472</v>
      </c>
      <c r="H296" s="123" t="s">
        <v>100</v>
      </c>
    </row>
    <row r="297" spans="1:8" x14ac:dyDescent="0.25">
      <c r="A297" s="6" t="s">
        <v>3</v>
      </c>
      <c r="B297" s="6">
        <v>6067008122</v>
      </c>
      <c r="C297" s="7">
        <v>81.22</v>
      </c>
      <c r="D297" s="12" t="s">
        <v>43</v>
      </c>
      <c r="E297" s="13">
        <v>24</v>
      </c>
      <c r="F297" s="13">
        <f>31+3</f>
        <v>34</v>
      </c>
      <c r="G297" s="13">
        <f>6+2+22</f>
        <v>30</v>
      </c>
      <c r="H297" s="123" t="s">
        <v>100</v>
      </c>
    </row>
    <row r="298" spans="1:8" x14ac:dyDescent="0.25">
      <c r="A298" s="6" t="s">
        <v>3</v>
      </c>
      <c r="B298" s="6">
        <v>6067008124</v>
      </c>
      <c r="C298" s="7">
        <v>81.239999999999995</v>
      </c>
      <c r="D298" s="12" t="s">
        <v>44</v>
      </c>
      <c r="E298" s="13">
        <v>39</v>
      </c>
      <c r="F298" s="13">
        <f>35+1+6</f>
        <v>42</v>
      </c>
      <c r="G298" s="13">
        <f>1+30+3+15</f>
        <v>49</v>
      </c>
      <c r="H298" s="123" t="s">
        <v>100</v>
      </c>
    </row>
    <row r="299" spans="1:8" x14ac:dyDescent="0.25">
      <c r="A299" s="6" t="s">
        <v>3</v>
      </c>
      <c r="B299" s="6">
        <v>6067008125</v>
      </c>
      <c r="C299" s="7">
        <v>81.25</v>
      </c>
      <c r="D299" s="12" t="s">
        <v>44</v>
      </c>
      <c r="E299" s="13">
        <v>24</v>
      </c>
      <c r="F299" s="13">
        <f>76+6+0</f>
        <v>82</v>
      </c>
      <c r="G299" s="13">
        <f>3+15+11+3</f>
        <v>32</v>
      </c>
      <c r="H299" s="123" t="s">
        <v>100</v>
      </c>
    </row>
    <row r="300" spans="1:8" x14ac:dyDescent="0.25">
      <c r="A300" s="6" t="s">
        <v>3</v>
      </c>
      <c r="B300" s="6">
        <v>6067008127</v>
      </c>
      <c r="C300" s="7">
        <v>81.27</v>
      </c>
      <c r="D300" s="12" t="s">
        <v>44</v>
      </c>
      <c r="E300" s="13">
        <v>155</v>
      </c>
      <c r="F300" s="13">
        <f>3+4</f>
        <v>7</v>
      </c>
      <c r="G300" s="13">
        <f>580+0+22</f>
        <v>602</v>
      </c>
      <c r="H300" s="123" t="s">
        <v>100</v>
      </c>
    </row>
    <row r="301" spans="1:8" x14ac:dyDescent="0.25">
      <c r="A301" s="6" t="s">
        <v>3</v>
      </c>
      <c r="B301" s="6">
        <v>6067008128</v>
      </c>
      <c r="C301" s="7">
        <v>81.28</v>
      </c>
      <c r="D301" s="12" t="s">
        <v>44</v>
      </c>
      <c r="E301" s="13">
        <v>12</v>
      </c>
      <c r="F301" s="13">
        <f>11+0</f>
        <v>11</v>
      </c>
      <c r="G301" s="13">
        <f>7+4+3</f>
        <v>14</v>
      </c>
      <c r="H301" s="123" t="s">
        <v>100</v>
      </c>
    </row>
    <row r="302" spans="1:8" x14ac:dyDescent="0.25">
      <c r="A302" s="6" t="s">
        <v>3</v>
      </c>
      <c r="B302" s="6">
        <v>6067008129</v>
      </c>
      <c r="C302" s="7">
        <v>81.290000000000006</v>
      </c>
      <c r="D302" s="12" t="s">
        <v>44</v>
      </c>
      <c r="E302" s="13">
        <v>132</v>
      </c>
      <c r="F302" s="13">
        <f>7+1</f>
        <v>8</v>
      </c>
      <c r="G302" s="13">
        <f>0+66+4+7</f>
        <v>77</v>
      </c>
      <c r="H302" s="123" t="s">
        <v>100</v>
      </c>
    </row>
    <row r="303" spans="1:8" x14ac:dyDescent="0.25">
      <c r="A303" s="6" t="s">
        <v>3</v>
      </c>
      <c r="B303" s="6">
        <v>6067008130</v>
      </c>
      <c r="C303" s="7">
        <v>81.3</v>
      </c>
      <c r="D303" s="12" t="s">
        <v>3</v>
      </c>
      <c r="E303" s="13">
        <v>169</v>
      </c>
      <c r="F303" s="13">
        <f>338+39+4</f>
        <v>381</v>
      </c>
      <c r="G303" s="13">
        <f>381+33+5+76</f>
        <v>495</v>
      </c>
      <c r="H303" s="123" t="s">
        <v>100</v>
      </c>
    </row>
    <row r="304" spans="1:8" x14ac:dyDescent="0.25">
      <c r="A304" s="16" t="s">
        <v>3</v>
      </c>
      <c r="B304" s="16">
        <v>6067008131</v>
      </c>
      <c r="C304" s="7">
        <v>81.31</v>
      </c>
      <c r="D304" s="12" t="s">
        <v>44</v>
      </c>
      <c r="E304" s="13">
        <v>294</v>
      </c>
      <c r="F304" s="13">
        <f>198+12+22</f>
        <v>232</v>
      </c>
      <c r="G304" s="13">
        <f>62+367+81+122</f>
        <v>632</v>
      </c>
      <c r="H304" s="123" t="s">
        <v>100</v>
      </c>
    </row>
    <row r="305" spans="1:8" x14ac:dyDescent="0.25">
      <c r="A305" s="16" t="s">
        <v>3</v>
      </c>
      <c r="B305" s="16">
        <v>6067008132</v>
      </c>
      <c r="C305" s="7">
        <v>81.319999999999993</v>
      </c>
      <c r="D305" s="12" t="s">
        <v>44</v>
      </c>
      <c r="E305" s="13">
        <v>6</v>
      </c>
      <c r="F305" s="13">
        <f>9+2</f>
        <v>11</v>
      </c>
      <c r="G305" s="13">
        <f>1+2</f>
        <v>3</v>
      </c>
      <c r="H305" s="123" t="s">
        <v>100</v>
      </c>
    </row>
    <row r="306" spans="1:8" x14ac:dyDescent="0.25">
      <c r="A306" s="16" t="s">
        <v>3</v>
      </c>
      <c r="B306" s="16">
        <v>6067008133</v>
      </c>
      <c r="C306" s="7">
        <v>81.33</v>
      </c>
      <c r="D306" s="12" t="s">
        <v>3</v>
      </c>
      <c r="E306" s="13">
        <v>108</v>
      </c>
      <c r="F306" s="13">
        <f>102+4+0</f>
        <v>106</v>
      </c>
      <c r="G306" s="13">
        <f>11+60+26+46</f>
        <v>143</v>
      </c>
      <c r="H306" s="123" t="s">
        <v>100</v>
      </c>
    </row>
    <row r="307" spans="1:8" x14ac:dyDescent="0.25">
      <c r="A307" s="16" t="s">
        <v>3</v>
      </c>
      <c r="B307" s="16">
        <v>6067008134</v>
      </c>
      <c r="C307" s="7">
        <v>81.34</v>
      </c>
      <c r="D307" s="12" t="s">
        <v>37</v>
      </c>
      <c r="E307" s="13">
        <v>448</v>
      </c>
      <c r="F307" s="13">
        <f>12+4+0</f>
        <v>16</v>
      </c>
      <c r="G307" s="13">
        <f>7+24+5+18</f>
        <v>54</v>
      </c>
      <c r="H307" s="123" t="s">
        <v>100</v>
      </c>
    </row>
    <row r="308" spans="1:8" x14ac:dyDescent="0.25">
      <c r="A308" s="16" t="s">
        <v>3</v>
      </c>
      <c r="B308" s="16">
        <v>6067008135</v>
      </c>
      <c r="C308" s="7">
        <v>81.349999999999994</v>
      </c>
      <c r="D308" s="12" t="s">
        <v>44</v>
      </c>
      <c r="E308" s="13">
        <v>22</v>
      </c>
      <c r="F308" s="13">
        <f>3+0</f>
        <v>3</v>
      </c>
      <c r="G308" s="13">
        <f>20+1+17</f>
        <v>38</v>
      </c>
      <c r="H308" s="123" t="s">
        <v>100</v>
      </c>
    </row>
    <row r="309" spans="1:8" x14ac:dyDescent="0.25">
      <c r="A309" s="16" t="s">
        <v>3</v>
      </c>
      <c r="B309" s="16">
        <v>6067008136</v>
      </c>
      <c r="C309" s="7">
        <v>81.36</v>
      </c>
      <c r="D309" s="12" t="s">
        <v>44</v>
      </c>
      <c r="E309" s="13">
        <v>453</v>
      </c>
      <c r="F309" s="13">
        <f>9+6+5</f>
        <v>20</v>
      </c>
      <c r="G309" s="13">
        <f>4+814+17+31</f>
        <v>866</v>
      </c>
      <c r="H309" s="123" t="s">
        <v>100</v>
      </c>
    </row>
    <row r="310" spans="1:8" x14ac:dyDescent="0.25">
      <c r="A310" s="16" t="s">
        <v>3</v>
      </c>
      <c r="B310" s="16">
        <v>6067008137</v>
      </c>
      <c r="C310" s="7">
        <v>81.37</v>
      </c>
      <c r="D310" s="12" t="s">
        <v>44</v>
      </c>
      <c r="E310" s="13">
        <v>29</v>
      </c>
      <c r="F310" s="13">
        <f>5+1</f>
        <v>6</v>
      </c>
      <c r="G310" s="13">
        <f>3+28+21+8</f>
        <v>60</v>
      </c>
      <c r="H310" s="123" t="s">
        <v>100</v>
      </c>
    </row>
    <row r="311" spans="1:8" x14ac:dyDescent="0.25">
      <c r="A311" s="16" t="s">
        <v>3</v>
      </c>
      <c r="B311" s="16">
        <v>6067008138</v>
      </c>
      <c r="C311" s="7">
        <v>81.38</v>
      </c>
      <c r="D311" s="12" t="s">
        <v>44</v>
      </c>
      <c r="E311" s="13">
        <v>888</v>
      </c>
      <c r="F311" s="13">
        <f>35+7+0</f>
        <v>42</v>
      </c>
      <c r="G311" s="13">
        <f>30+1264+21+80</f>
        <v>1395</v>
      </c>
      <c r="H311" s="123" t="s">
        <v>100</v>
      </c>
    </row>
    <row r="312" spans="1:8" x14ac:dyDescent="0.25">
      <c r="A312" s="16" t="s">
        <v>3</v>
      </c>
      <c r="B312" s="16">
        <v>6067008139</v>
      </c>
      <c r="C312" s="7">
        <v>81.39</v>
      </c>
      <c r="D312" s="12" t="s">
        <v>44</v>
      </c>
      <c r="E312" s="13">
        <v>503</v>
      </c>
      <c r="F312" s="13">
        <f>1+9+0</f>
        <v>10</v>
      </c>
      <c r="G312" s="13">
        <f>3+685+46+12</f>
        <v>746</v>
      </c>
      <c r="H312" s="123" t="s">
        <v>100</v>
      </c>
    </row>
    <row r="313" spans="1:8" x14ac:dyDescent="0.25">
      <c r="A313" s="16" t="s">
        <v>3</v>
      </c>
      <c r="B313" s="16">
        <v>6067008140</v>
      </c>
      <c r="C313" s="7">
        <v>81.400000000000006</v>
      </c>
      <c r="D313" s="12" t="s">
        <v>44</v>
      </c>
      <c r="E313" s="13">
        <v>105</v>
      </c>
      <c r="F313" s="13">
        <f>4+0</f>
        <v>4</v>
      </c>
      <c r="G313" s="13">
        <f>30+11+20+21</f>
        <v>82</v>
      </c>
      <c r="H313" s="123" t="s">
        <v>100</v>
      </c>
    </row>
    <row r="314" spans="1:8" x14ac:dyDescent="0.25">
      <c r="A314" s="16" t="s">
        <v>3</v>
      </c>
      <c r="B314" s="16">
        <v>6067008141</v>
      </c>
      <c r="C314" s="7">
        <v>81.41</v>
      </c>
      <c r="D314" s="12" t="s">
        <v>44</v>
      </c>
      <c r="E314" s="13">
        <v>437</v>
      </c>
      <c r="F314" s="13">
        <f>322+0</f>
        <v>322</v>
      </c>
      <c r="G314" s="13">
        <f>14+88+11+15</f>
        <v>128</v>
      </c>
      <c r="H314" s="123" t="s">
        <v>100</v>
      </c>
    </row>
    <row r="315" spans="1:8" x14ac:dyDescent="0.25">
      <c r="A315" s="16" t="s">
        <v>3</v>
      </c>
      <c r="B315" s="16">
        <v>6067008142</v>
      </c>
      <c r="C315" s="7">
        <v>81.42</v>
      </c>
      <c r="D315" s="12" t="s">
        <v>44</v>
      </c>
      <c r="E315" s="13">
        <v>44</v>
      </c>
      <c r="F315" s="13">
        <f>103+3</f>
        <v>106</v>
      </c>
      <c r="G315" s="13">
        <f>0+114+13+68</f>
        <v>195</v>
      </c>
      <c r="H315" s="123" t="s">
        <v>100</v>
      </c>
    </row>
    <row r="316" spans="1:8" x14ac:dyDescent="0.25">
      <c r="A316" s="16" t="s">
        <v>3</v>
      </c>
      <c r="B316" s="16">
        <v>6067008143</v>
      </c>
      <c r="C316" s="7">
        <v>81.430000000000007</v>
      </c>
      <c r="D316" s="12" t="s">
        <v>44</v>
      </c>
      <c r="E316" s="13">
        <v>63</v>
      </c>
      <c r="F316" s="13">
        <f>44</f>
        <v>44</v>
      </c>
      <c r="G316" s="13">
        <f>64+34+49</f>
        <v>147</v>
      </c>
      <c r="H316" s="123" t="s">
        <v>100</v>
      </c>
    </row>
    <row r="317" spans="1:8" x14ac:dyDescent="0.25">
      <c r="A317" s="16" t="s">
        <v>3</v>
      </c>
      <c r="B317" s="16">
        <v>6067008144</v>
      </c>
      <c r="C317" s="7">
        <v>81.44</v>
      </c>
      <c r="D317" s="12" t="s">
        <v>45</v>
      </c>
      <c r="E317" s="13">
        <v>32</v>
      </c>
      <c r="F317" s="13">
        <f>41+0</f>
        <v>41</v>
      </c>
      <c r="G317" s="13">
        <f>34+7+53</f>
        <v>94</v>
      </c>
      <c r="H317" s="123" t="s">
        <v>100</v>
      </c>
    </row>
    <row r="318" spans="1:8" x14ac:dyDescent="0.25">
      <c r="A318" s="16" t="s">
        <v>3</v>
      </c>
      <c r="B318" s="16">
        <v>6067008145</v>
      </c>
      <c r="C318" s="7">
        <v>81.45</v>
      </c>
      <c r="D318" s="12" t="s">
        <v>45</v>
      </c>
      <c r="E318" s="13">
        <v>7</v>
      </c>
      <c r="F318" s="13">
        <f>57</f>
        <v>57</v>
      </c>
      <c r="G318" s="13">
        <f>5+3</f>
        <v>8</v>
      </c>
      <c r="H318" s="123" t="s">
        <v>100</v>
      </c>
    </row>
    <row r="319" spans="1:8" x14ac:dyDescent="0.25">
      <c r="A319" s="16" t="s">
        <v>3</v>
      </c>
      <c r="B319" s="16">
        <v>6067008203</v>
      </c>
      <c r="C319" s="7">
        <v>82.03</v>
      </c>
      <c r="D319" s="12" t="s">
        <v>45</v>
      </c>
      <c r="E319" s="13">
        <v>115</v>
      </c>
      <c r="F319" s="13">
        <f>87+14+0</f>
        <v>101</v>
      </c>
      <c r="G319" s="13">
        <f>8+131+97+3</f>
        <v>239</v>
      </c>
      <c r="H319" s="123" t="s">
        <v>100</v>
      </c>
    </row>
    <row r="320" spans="1:8" x14ac:dyDescent="0.25">
      <c r="A320" s="16" t="s">
        <v>3</v>
      </c>
      <c r="B320" s="16">
        <v>6067008204</v>
      </c>
      <c r="C320" s="7">
        <v>82.04</v>
      </c>
      <c r="D320" s="12" t="s">
        <v>45</v>
      </c>
      <c r="E320" s="13">
        <v>116</v>
      </c>
      <c r="F320" s="13">
        <f>73+7+2</f>
        <v>82</v>
      </c>
      <c r="G320" s="13">
        <f>4+16+10+75</f>
        <v>105</v>
      </c>
      <c r="H320" s="123" t="s">
        <v>100</v>
      </c>
    </row>
    <row r="321" spans="1:8" x14ac:dyDescent="0.25">
      <c r="A321" s="16" t="s">
        <v>3</v>
      </c>
      <c r="B321" s="16">
        <v>6067008206</v>
      </c>
      <c r="C321" s="7">
        <v>82.06</v>
      </c>
      <c r="D321" s="12" t="s">
        <v>45</v>
      </c>
      <c r="E321" s="13">
        <v>183</v>
      </c>
      <c r="F321" s="13">
        <f>199+9+0</f>
        <v>208</v>
      </c>
      <c r="G321" s="13">
        <f>7+197+45+116</f>
        <v>365</v>
      </c>
      <c r="H321" s="123" t="s">
        <v>100</v>
      </c>
    </row>
    <row r="322" spans="1:8" x14ac:dyDescent="0.25">
      <c r="A322" s="16" t="s">
        <v>3</v>
      </c>
      <c r="B322" s="16">
        <v>6067008207</v>
      </c>
      <c r="C322" s="7">
        <v>82.07</v>
      </c>
      <c r="D322" s="12" t="s">
        <v>45</v>
      </c>
      <c r="E322" s="13">
        <v>18</v>
      </c>
      <c r="F322" s="13">
        <f>31+4+10</f>
        <v>45</v>
      </c>
      <c r="G322" s="13">
        <f>4+7+14+6</f>
        <v>31</v>
      </c>
      <c r="H322" s="123" t="s">
        <v>100</v>
      </c>
    </row>
    <row r="323" spans="1:8" x14ac:dyDescent="0.25">
      <c r="A323" s="16" t="s">
        <v>3</v>
      </c>
      <c r="B323" s="16">
        <v>6067008208</v>
      </c>
      <c r="C323" s="7">
        <v>82.08</v>
      </c>
      <c r="D323" s="12" t="s">
        <v>45</v>
      </c>
      <c r="E323" s="13">
        <v>153</v>
      </c>
      <c r="F323" s="13">
        <f>174+6+1</f>
        <v>181</v>
      </c>
      <c r="G323" s="13">
        <f>11+226+23+65</f>
        <v>325</v>
      </c>
      <c r="H323" s="123" t="s">
        <v>100</v>
      </c>
    </row>
    <row r="324" spans="1:8" x14ac:dyDescent="0.25">
      <c r="A324" s="16" t="s">
        <v>3</v>
      </c>
      <c r="B324" s="16">
        <v>6067008209</v>
      </c>
      <c r="C324" s="7">
        <v>82.09</v>
      </c>
      <c r="D324" s="12" t="s">
        <v>46</v>
      </c>
      <c r="E324" s="13">
        <v>93</v>
      </c>
      <c r="F324" s="13">
        <f>156+4+4</f>
        <v>164</v>
      </c>
      <c r="G324" s="13">
        <f>16+79+4+158</f>
        <v>257</v>
      </c>
      <c r="H324" s="123" t="s">
        <v>100</v>
      </c>
    </row>
    <row r="325" spans="1:8" x14ac:dyDescent="0.25">
      <c r="A325" s="16" t="s">
        <v>3</v>
      </c>
      <c r="B325" s="16">
        <v>6067008210</v>
      </c>
      <c r="C325" s="7">
        <v>82.1</v>
      </c>
      <c r="D325" s="12" t="s">
        <v>46</v>
      </c>
      <c r="E325" s="13">
        <v>71</v>
      </c>
      <c r="F325" s="13">
        <f>35+11</f>
        <v>46</v>
      </c>
      <c r="G325" s="13">
        <f>3+61+22+4</f>
        <v>90</v>
      </c>
      <c r="H325" s="123" t="s">
        <v>100</v>
      </c>
    </row>
    <row r="326" spans="1:8" x14ac:dyDescent="0.25">
      <c r="A326" s="16" t="s">
        <v>3</v>
      </c>
      <c r="B326" s="16">
        <v>6067008211</v>
      </c>
      <c r="C326" s="7">
        <v>82.11</v>
      </c>
      <c r="D326" s="12" t="s">
        <v>45</v>
      </c>
      <c r="E326" s="13">
        <v>37</v>
      </c>
      <c r="F326" s="13">
        <f>185+11</f>
        <v>196</v>
      </c>
      <c r="G326" s="13">
        <f>1+8+0+10</f>
        <v>19</v>
      </c>
      <c r="H326" s="123" t="s">
        <v>100</v>
      </c>
    </row>
    <row r="327" spans="1:8" x14ac:dyDescent="0.25">
      <c r="A327" s="16" t="s">
        <v>3</v>
      </c>
      <c r="B327" s="16">
        <v>6067008402</v>
      </c>
      <c r="C327" s="7">
        <v>84.02</v>
      </c>
      <c r="D327" s="12" t="s">
        <v>46</v>
      </c>
      <c r="E327" s="13">
        <v>207</v>
      </c>
      <c r="F327" s="13">
        <f>39+3</f>
        <v>42</v>
      </c>
      <c r="G327" s="13">
        <f>17+437+25+39</f>
        <v>518</v>
      </c>
      <c r="H327" s="123" t="s">
        <v>100</v>
      </c>
    </row>
    <row r="328" spans="1:8" x14ac:dyDescent="0.25">
      <c r="A328" s="16" t="s">
        <v>3</v>
      </c>
      <c r="B328" s="16">
        <v>6067008403</v>
      </c>
      <c r="C328" s="7">
        <v>84.03</v>
      </c>
      <c r="D328" s="12" t="s">
        <v>46</v>
      </c>
      <c r="E328" s="13">
        <v>699</v>
      </c>
      <c r="F328" s="13">
        <f>163+88+9</f>
        <v>260</v>
      </c>
      <c r="G328" s="13">
        <f>19+862+8+196</f>
        <v>1085</v>
      </c>
      <c r="H328" s="123" t="s">
        <v>100</v>
      </c>
    </row>
    <row r="329" spans="1:8" x14ac:dyDescent="0.25">
      <c r="A329" s="16" t="s">
        <v>3</v>
      </c>
      <c r="B329" s="16">
        <v>6067008404</v>
      </c>
      <c r="C329" s="7">
        <v>84.04</v>
      </c>
      <c r="D329" s="12" t="s">
        <v>46</v>
      </c>
      <c r="E329" s="13">
        <v>604</v>
      </c>
      <c r="F329" s="13">
        <f>48+63+8</f>
        <v>119</v>
      </c>
      <c r="G329" s="13">
        <f>21+298+16+182</f>
        <v>517</v>
      </c>
      <c r="H329" s="123" t="s">
        <v>100</v>
      </c>
    </row>
    <row r="330" spans="1:8" x14ac:dyDescent="0.25">
      <c r="A330" s="16" t="s">
        <v>3</v>
      </c>
      <c r="B330" s="16">
        <v>6067008501</v>
      </c>
      <c r="C330" s="7">
        <v>85.01</v>
      </c>
      <c r="D330" s="12" t="s">
        <v>46</v>
      </c>
      <c r="E330" s="13">
        <v>67</v>
      </c>
      <c r="F330" s="13">
        <f>22+2+0</f>
        <v>24</v>
      </c>
      <c r="G330" s="13">
        <f>16+34+9+27</f>
        <v>86</v>
      </c>
      <c r="H330" s="123" t="s">
        <v>100</v>
      </c>
    </row>
    <row r="331" spans="1:8" x14ac:dyDescent="0.25">
      <c r="A331" s="16" t="s">
        <v>3</v>
      </c>
      <c r="B331" s="16">
        <v>6067008504</v>
      </c>
      <c r="C331" s="7">
        <v>85.04</v>
      </c>
      <c r="D331" s="12" t="s">
        <v>46</v>
      </c>
      <c r="E331" s="13">
        <v>2909</v>
      </c>
      <c r="F331" s="13">
        <f>295+532+3</f>
        <v>830</v>
      </c>
      <c r="G331" s="13">
        <f>204+788+140+183</f>
        <v>1315</v>
      </c>
      <c r="H331" s="123" t="s">
        <v>119</v>
      </c>
    </row>
    <row r="332" spans="1:8" x14ac:dyDescent="0.25">
      <c r="A332" s="16" t="s">
        <v>3</v>
      </c>
      <c r="B332" s="16">
        <v>6067008505</v>
      </c>
      <c r="C332" s="7">
        <v>85.05</v>
      </c>
      <c r="D332" s="12" t="s">
        <v>46</v>
      </c>
      <c r="E332" s="13">
        <v>28</v>
      </c>
      <c r="F332" s="13">
        <f>1+0</f>
        <v>1</v>
      </c>
      <c r="G332" s="13">
        <f>2+3+20+0</f>
        <v>25</v>
      </c>
      <c r="H332" s="123" t="s">
        <v>100</v>
      </c>
    </row>
    <row r="333" spans="1:8" x14ac:dyDescent="0.25">
      <c r="A333" s="16" t="s">
        <v>3</v>
      </c>
      <c r="B333" s="16">
        <v>6067008506</v>
      </c>
      <c r="C333" s="7">
        <v>85.06</v>
      </c>
      <c r="D333" s="12" t="s">
        <v>46</v>
      </c>
      <c r="E333" s="13">
        <v>871</v>
      </c>
      <c r="F333" s="13">
        <f>17+8+0</f>
        <v>25</v>
      </c>
      <c r="G333" s="13">
        <f>8+677+160+19</f>
        <v>864</v>
      </c>
      <c r="H333" s="123" t="s">
        <v>100</v>
      </c>
    </row>
    <row r="334" spans="1:8" x14ac:dyDescent="0.25">
      <c r="A334" s="16" t="s">
        <v>3</v>
      </c>
      <c r="B334" s="16">
        <v>6067008507</v>
      </c>
      <c r="C334" s="7">
        <v>85.07</v>
      </c>
      <c r="D334" s="12" t="s">
        <v>46</v>
      </c>
      <c r="E334" s="13">
        <v>1022</v>
      </c>
      <c r="F334" s="13">
        <f>85+5+3</f>
        <v>93</v>
      </c>
      <c r="G334" s="13">
        <f>8+798+165+91</f>
        <v>1062</v>
      </c>
      <c r="H334" s="123" t="s">
        <v>120</v>
      </c>
    </row>
    <row r="335" spans="1:8" x14ac:dyDescent="0.25">
      <c r="A335" s="16" t="s">
        <v>3</v>
      </c>
      <c r="B335" s="16">
        <v>6067008508</v>
      </c>
      <c r="C335" s="7">
        <v>85.08</v>
      </c>
      <c r="D335" s="12" t="s">
        <v>46</v>
      </c>
      <c r="E335" s="13">
        <v>158</v>
      </c>
      <c r="F335" s="13">
        <f>60+8+7</f>
        <v>75</v>
      </c>
      <c r="G335" s="13">
        <f>2+1+61+12</f>
        <v>76</v>
      </c>
      <c r="H335" s="123" t="s">
        <v>100</v>
      </c>
    </row>
    <row r="336" spans="1:8" x14ac:dyDescent="0.25">
      <c r="A336" s="16" t="s">
        <v>3</v>
      </c>
      <c r="B336" s="16">
        <v>6067008509</v>
      </c>
      <c r="C336" s="7">
        <v>85.09</v>
      </c>
      <c r="D336" s="12" t="s">
        <v>46</v>
      </c>
      <c r="E336" s="13">
        <v>64</v>
      </c>
      <c r="F336" s="13">
        <f>13+2</f>
        <v>15</v>
      </c>
      <c r="G336" s="13">
        <f>89+1+4</f>
        <v>94</v>
      </c>
      <c r="H336" s="123" t="s">
        <v>100</v>
      </c>
    </row>
    <row r="337" spans="1:8" x14ac:dyDescent="0.25">
      <c r="A337" s="16" t="s">
        <v>3</v>
      </c>
      <c r="B337" s="16">
        <v>6067008510</v>
      </c>
      <c r="C337" s="7">
        <v>85.1</v>
      </c>
      <c r="D337" s="12" t="s">
        <v>46</v>
      </c>
      <c r="E337" s="13">
        <v>122</v>
      </c>
      <c r="F337" s="13">
        <f>14+0</f>
        <v>14</v>
      </c>
      <c r="G337" s="13">
        <f>39+17+83</f>
        <v>139</v>
      </c>
      <c r="H337" s="123" t="s">
        <v>100</v>
      </c>
    </row>
    <row r="338" spans="1:8" x14ac:dyDescent="0.25">
      <c r="A338" s="16" t="s">
        <v>3</v>
      </c>
      <c r="B338" s="16">
        <v>6067008512</v>
      </c>
      <c r="C338" s="7">
        <v>85.12</v>
      </c>
      <c r="D338" s="12" t="s">
        <v>46</v>
      </c>
      <c r="E338" s="13">
        <v>81</v>
      </c>
      <c r="F338" s="13">
        <f>17+3</f>
        <v>20</v>
      </c>
      <c r="G338" s="13">
        <f>11+0+1</f>
        <v>12</v>
      </c>
      <c r="H338" s="123" t="s">
        <v>100</v>
      </c>
    </row>
    <row r="339" spans="1:8" x14ac:dyDescent="0.25">
      <c r="A339" s="16" t="s">
        <v>3</v>
      </c>
      <c r="B339" s="16">
        <v>6067008513</v>
      </c>
      <c r="C339" s="7">
        <v>85.13</v>
      </c>
      <c r="D339" s="12" t="s">
        <v>46</v>
      </c>
      <c r="E339" s="13">
        <v>191</v>
      </c>
      <c r="F339" s="13">
        <f>8+1+1</f>
        <v>10</v>
      </c>
      <c r="G339" s="13">
        <f>2+302+1+7</f>
        <v>312</v>
      </c>
      <c r="H339" s="123" t="s">
        <v>100</v>
      </c>
    </row>
    <row r="340" spans="1:8" x14ac:dyDescent="0.25">
      <c r="A340" s="16" t="s">
        <v>3</v>
      </c>
      <c r="B340" s="16">
        <v>6067008600</v>
      </c>
      <c r="C340" s="7">
        <v>86</v>
      </c>
      <c r="D340" s="12" t="s">
        <v>47</v>
      </c>
      <c r="E340" s="13">
        <v>156</v>
      </c>
      <c r="F340" s="13">
        <f>12+158+138+4</f>
        <v>312</v>
      </c>
      <c r="G340" s="13">
        <f>9+31+21+60</f>
        <v>121</v>
      </c>
      <c r="H340" s="123" t="s">
        <v>100</v>
      </c>
    </row>
    <row r="341" spans="1:8" x14ac:dyDescent="0.25">
      <c r="A341" s="16" t="s">
        <v>3</v>
      </c>
      <c r="B341" s="16">
        <v>6067008702</v>
      </c>
      <c r="C341" s="7">
        <v>87.02</v>
      </c>
      <c r="D341" s="12" t="s">
        <v>48</v>
      </c>
      <c r="E341" s="13">
        <v>39</v>
      </c>
      <c r="F341" s="13">
        <f>19+0</f>
        <v>19</v>
      </c>
      <c r="G341" s="13">
        <f>3+3+10+13</f>
        <v>29</v>
      </c>
      <c r="H341" s="123" t="s">
        <v>100</v>
      </c>
    </row>
    <row r="342" spans="1:8" x14ac:dyDescent="0.25">
      <c r="A342" s="16" t="s">
        <v>3</v>
      </c>
      <c r="B342" s="16">
        <v>6067008703</v>
      </c>
      <c r="C342" s="7">
        <v>87.03</v>
      </c>
      <c r="D342" s="12" t="s">
        <v>48</v>
      </c>
      <c r="E342" s="13">
        <v>1521</v>
      </c>
      <c r="F342" s="13">
        <f>1398+135+80</f>
        <v>1613</v>
      </c>
      <c r="G342" s="13">
        <f>544+1194+24+194</f>
        <v>1956</v>
      </c>
      <c r="H342" s="123" t="s">
        <v>121</v>
      </c>
    </row>
    <row r="343" spans="1:8" x14ac:dyDescent="0.25">
      <c r="A343" s="16" t="s">
        <v>3</v>
      </c>
      <c r="B343" s="16">
        <v>6067008704</v>
      </c>
      <c r="C343" s="7">
        <v>87.04</v>
      </c>
      <c r="D343" s="12" t="s">
        <v>48</v>
      </c>
      <c r="E343" s="13">
        <v>7</v>
      </c>
      <c r="F343" s="13">
        <f>6</f>
        <v>6</v>
      </c>
      <c r="G343" s="13">
        <f>1+4</f>
        <v>5</v>
      </c>
      <c r="H343" s="123" t="s">
        <v>100</v>
      </c>
    </row>
    <row r="344" spans="1:8" x14ac:dyDescent="0.25">
      <c r="A344" s="16" t="s">
        <v>3</v>
      </c>
      <c r="B344" s="16">
        <v>6067008705</v>
      </c>
      <c r="C344" s="7">
        <v>87.05</v>
      </c>
      <c r="D344" s="12" t="s">
        <v>48</v>
      </c>
      <c r="E344" s="13">
        <v>2739</v>
      </c>
      <c r="F344" s="13">
        <f>5+3574+3257+399</f>
        <v>7235</v>
      </c>
      <c r="G344" s="13">
        <f>911+1012+50+359</f>
        <v>2332</v>
      </c>
      <c r="H344" s="123" t="s">
        <v>122</v>
      </c>
    </row>
    <row r="345" spans="1:8" x14ac:dyDescent="0.25">
      <c r="A345" s="16" t="s">
        <v>3</v>
      </c>
      <c r="B345" s="16">
        <v>6067008801</v>
      </c>
      <c r="C345" s="7">
        <v>88.01</v>
      </c>
      <c r="D345" s="12" t="s">
        <v>49</v>
      </c>
      <c r="E345" s="13">
        <v>726</v>
      </c>
      <c r="F345" s="13">
        <f>44+11+206</f>
        <v>261</v>
      </c>
      <c r="G345" s="13">
        <f>2+62+12+94</f>
        <v>170</v>
      </c>
      <c r="H345" s="123" t="s">
        <v>100</v>
      </c>
    </row>
    <row r="346" spans="1:8" x14ac:dyDescent="0.25">
      <c r="A346" s="16" t="s">
        <v>3</v>
      </c>
      <c r="B346" s="16">
        <v>6067008905</v>
      </c>
      <c r="C346" s="7">
        <v>89.05</v>
      </c>
      <c r="D346" s="12" t="s">
        <v>48</v>
      </c>
      <c r="E346" s="13">
        <v>160</v>
      </c>
      <c r="F346" s="13">
        <f>7</f>
        <v>7</v>
      </c>
      <c r="G346" s="13">
        <f>493+8+19</f>
        <v>520</v>
      </c>
      <c r="H346" s="123" t="s">
        <v>100</v>
      </c>
    </row>
    <row r="347" spans="1:8" x14ac:dyDescent="0.25">
      <c r="A347" s="16" t="s">
        <v>3</v>
      </c>
      <c r="B347" s="16">
        <v>6067008907</v>
      </c>
      <c r="C347" s="7">
        <v>89.07</v>
      </c>
      <c r="D347" s="12" t="s">
        <v>48</v>
      </c>
      <c r="E347" s="13">
        <v>121</v>
      </c>
      <c r="F347" s="13">
        <f>18+0</f>
        <v>18</v>
      </c>
      <c r="G347" s="13">
        <f>200+2+28</f>
        <v>230</v>
      </c>
      <c r="H347" s="123" t="s">
        <v>100</v>
      </c>
    </row>
    <row r="348" spans="1:8" x14ac:dyDescent="0.25">
      <c r="A348" s="16" t="s">
        <v>3</v>
      </c>
      <c r="B348" s="16">
        <v>6067008908</v>
      </c>
      <c r="C348" s="7">
        <v>89.08</v>
      </c>
      <c r="D348" s="12" t="s">
        <v>48</v>
      </c>
      <c r="E348" s="13">
        <v>231</v>
      </c>
      <c r="F348" s="13">
        <f>8</f>
        <v>8</v>
      </c>
      <c r="G348" s="13">
        <f>34+107+24+23</f>
        <v>188</v>
      </c>
      <c r="H348" s="123" t="s">
        <v>100</v>
      </c>
    </row>
    <row r="349" spans="1:8" x14ac:dyDescent="0.25">
      <c r="A349" s="16" t="s">
        <v>3</v>
      </c>
      <c r="B349" s="16">
        <v>6067008909</v>
      </c>
      <c r="C349" s="7">
        <v>89.09</v>
      </c>
      <c r="D349" s="12" t="s">
        <v>48</v>
      </c>
      <c r="E349" s="13">
        <v>51</v>
      </c>
      <c r="F349" s="13">
        <f>15</f>
        <v>15</v>
      </c>
      <c r="G349" s="13">
        <f>7+1+1</f>
        <v>9</v>
      </c>
      <c r="H349" s="123" t="s">
        <v>100</v>
      </c>
    </row>
    <row r="350" spans="1:8" x14ac:dyDescent="0.25">
      <c r="A350" s="16" t="s">
        <v>3</v>
      </c>
      <c r="B350" s="16">
        <v>6067008910</v>
      </c>
      <c r="C350" s="7">
        <v>89.1</v>
      </c>
      <c r="D350" s="12" t="s">
        <v>48</v>
      </c>
      <c r="E350" s="13">
        <v>61</v>
      </c>
      <c r="F350" s="13">
        <f>7+1+31</f>
        <v>39</v>
      </c>
      <c r="G350" s="13">
        <f>71+1+1+31</f>
        <v>104</v>
      </c>
      <c r="H350" s="123" t="s">
        <v>100</v>
      </c>
    </row>
    <row r="351" spans="1:8" x14ac:dyDescent="0.25">
      <c r="A351" s="16" t="s">
        <v>3</v>
      </c>
      <c r="B351" s="16">
        <v>6067008911</v>
      </c>
      <c r="C351" s="7">
        <v>89.11</v>
      </c>
      <c r="D351" s="12" t="s">
        <v>48</v>
      </c>
      <c r="E351" s="13">
        <v>21</v>
      </c>
      <c r="F351" s="13">
        <f>3</f>
        <v>3</v>
      </c>
      <c r="G351" s="13">
        <f>54+27</f>
        <v>81</v>
      </c>
      <c r="H351" s="123" t="s">
        <v>100</v>
      </c>
    </row>
    <row r="352" spans="1:8" x14ac:dyDescent="0.25">
      <c r="A352" s="16" t="s">
        <v>3</v>
      </c>
      <c r="B352" s="16">
        <v>6067008912</v>
      </c>
      <c r="C352" s="7">
        <v>89.12</v>
      </c>
      <c r="D352" s="12" t="s">
        <v>48</v>
      </c>
      <c r="E352" s="13">
        <v>49</v>
      </c>
      <c r="F352" s="13">
        <f>2+2</f>
        <v>4</v>
      </c>
      <c r="G352" s="13">
        <f>4+9+7</f>
        <v>20</v>
      </c>
      <c r="H352" s="123" t="s">
        <v>100</v>
      </c>
    </row>
    <row r="353" spans="1:8" x14ac:dyDescent="0.25">
      <c r="A353" s="16" t="s">
        <v>3</v>
      </c>
      <c r="B353" s="16">
        <v>6067008913</v>
      </c>
      <c r="C353" s="7">
        <v>89.13</v>
      </c>
      <c r="D353" s="12" t="s">
        <v>48</v>
      </c>
      <c r="E353" s="13">
        <v>25</v>
      </c>
      <c r="F353" s="13">
        <f>19+0</f>
        <v>19</v>
      </c>
      <c r="G353" s="13">
        <f>10+9+20</f>
        <v>39</v>
      </c>
      <c r="H353" s="123" t="s">
        <v>100</v>
      </c>
    </row>
    <row r="354" spans="1:8" x14ac:dyDescent="0.25">
      <c r="A354" s="16" t="s">
        <v>3</v>
      </c>
      <c r="B354" s="16">
        <v>6067009004</v>
      </c>
      <c r="C354" s="7">
        <v>90.04</v>
      </c>
      <c r="D354" s="12" t="s">
        <v>3</v>
      </c>
      <c r="E354" s="13">
        <v>57</v>
      </c>
      <c r="F354" s="13">
        <f>19+5</f>
        <v>24</v>
      </c>
      <c r="G354" s="13">
        <f>18+0</f>
        <v>18</v>
      </c>
      <c r="H354" s="123" t="s">
        <v>100</v>
      </c>
    </row>
    <row r="355" spans="1:8" x14ac:dyDescent="0.25">
      <c r="A355" s="16" t="s">
        <v>3</v>
      </c>
      <c r="B355" s="16">
        <v>6067009005</v>
      </c>
      <c r="C355" s="7">
        <v>90.05</v>
      </c>
      <c r="D355" s="12" t="s">
        <v>3</v>
      </c>
      <c r="E355" s="13">
        <v>887</v>
      </c>
      <c r="F355" s="13">
        <f>906+342+164</f>
        <v>1412</v>
      </c>
      <c r="G355" s="13">
        <f>60+172+9+13</f>
        <v>254</v>
      </c>
      <c r="H355" s="123" t="s">
        <v>124</v>
      </c>
    </row>
    <row r="356" spans="1:8" x14ac:dyDescent="0.25">
      <c r="A356" s="16" t="s">
        <v>3</v>
      </c>
      <c r="B356" s="16">
        <v>6067009006</v>
      </c>
      <c r="C356" s="7">
        <v>90.06</v>
      </c>
      <c r="D356" s="12" t="s">
        <v>3</v>
      </c>
      <c r="E356" s="13">
        <v>1030</v>
      </c>
      <c r="F356" s="13">
        <f>208+119+144</f>
        <v>471</v>
      </c>
      <c r="G356" s="13">
        <f>430+200+56+58</f>
        <v>744</v>
      </c>
      <c r="H356" s="123" t="s">
        <v>123</v>
      </c>
    </row>
    <row r="357" spans="1:8" x14ac:dyDescent="0.25">
      <c r="A357" s="16" t="s">
        <v>3</v>
      </c>
      <c r="B357" s="16">
        <v>6067009007</v>
      </c>
      <c r="C357" s="7">
        <v>90.07</v>
      </c>
      <c r="D357" s="12" t="s">
        <v>48</v>
      </c>
      <c r="E357" s="13">
        <v>188</v>
      </c>
      <c r="F357" s="13">
        <f>22</f>
        <v>22</v>
      </c>
      <c r="G357" s="13">
        <f>87+41+12+76</f>
        <v>216</v>
      </c>
      <c r="H357" s="123" t="s">
        <v>100</v>
      </c>
    </row>
    <row r="358" spans="1:8" x14ac:dyDescent="0.25">
      <c r="A358" s="16" t="s">
        <v>3</v>
      </c>
      <c r="B358" s="16">
        <v>6067009008</v>
      </c>
      <c r="C358" s="7">
        <v>90.08</v>
      </c>
      <c r="D358" s="12" t="s">
        <v>48</v>
      </c>
      <c r="E358" s="13">
        <v>200</v>
      </c>
      <c r="F358" s="13">
        <f>491+0</f>
        <v>491</v>
      </c>
      <c r="G358" s="13">
        <f>34+97+2+28</f>
        <v>161</v>
      </c>
      <c r="H358" s="123" t="s">
        <v>100</v>
      </c>
    </row>
    <row r="359" spans="1:8" x14ac:dyDescent="0.25">
      <c r="A359" s="16" t="s">
        <v>3</v>
      </c>
      <c r="B359" s="16">
        <v>6067009010</v>
      </c>
      <c r="C359" s="7">
        <v>90.1</v>
      </c>
      <c r="D359" s="12" t="s">
        <v>48</v>
      </c>
      <c r="E359" s="13">
        <v>5097</v>
      </c>
      <c r="F359" s="13">
        <f>245+935+265</f>
        <v>1445</v>
      </c>
      <c r="G359" s="13">
        <f>558+934+285+143</f>
        <v>1920</v>
      </c>
      <c r="H359" s="123" t="s">
        <v>121</v>
      </c>
    </row>
    <row r="360" spans="1:8" x14ac:dyDescent="0.25">
      <c r="A360" s="16" t="s">
        <v>3</v>
      </c>
      <c r="B360" s="16">
        <v>6067009011</v>
      </c>
      <c r="C360" s="7">
        <v>90.11</v>
      </c>
      <c r="D360" s="12" t="s">
        <v>48</v>
      </c>
      <c r="E360" s="13">
        <v>349</v>
      </c>
      <c r="F360" s="13">
        <f>129+128+9</f>
        <v>266</v>
      </c>
      <c r="G360" s="13">
        <f>163+324+6+20</f>
        <v>513</v>
      </c>
      <c r="H360" s="123" t="s">
        <v>100</v>
      </c>
    </row>
    <row r="361" spans="1:8" x14ac:dyDescent="0.25">
      <c r="A361" s="16" t="s">
        <v>3</v>
      </c>
      <c r="B361" s="16">
        <v>6067009103</v>
      </c>
      <c r="C361" s="7">
        <v>91.03</v>
      </c>
      <c r="D361" s="12" t="s">
        <v>3</v>
      </c>
      <c r="E361" s="13">
        <v>84</v>
      </c>
      <c r="F361" s="13">
        <f>6+0</f>
        <v>6</v>
      </c>
      <c r="G361" s="13">
        <f>1+44+0+26</f>
        <v>71</v>
      </c>
      <c r="H361" s="123" t="s">
        <v>100</v>
      </c>
    </row>
    <row r="362" spans="1:8" x14ac:dyDescent="0.25">
      <c r="A362" s="16" t="s">
        <v>3</v>
      </c>
      <c r="B362" s="16">
        <v>6067009105</v>
      </c>
      <c r="C362" s="7">
        <v>91.05</v>
      </c>
      <c r="D362" s="12" t="s">
        <v>3</v>
      </c>
      <c r="E362" s="13">
        <v>20</v>
      </c>
      <c r="F362" s="13">
        <f>9</f>
        <v>9</v>
      </c>
      <c r="G362" s="13">
        <f>19+6</f>
        <v>25</v>
      </c>
      <c r="H362" s="123" t="s">
        <v>100</v>
      </c>
    </row>
    <row r="363" spans="1:8" x14ac:dyDescent="0.25">
      <c r="A363" s="16" t="s">
        <v>3</v>
      </c>
      <c r="B363" s="16">
        <v>6067009106</v>
      </c>
      <c r="C363" s="7">
        <v>91.06</v>
      </c>
      <c r="D363" s="12" t="s">
        <v>3</v>
      </c>
      <c r="E363" s="13">
        <v>212</v>
      </c>
      <c r="F363" s="13">
        <f>8+8+0</f>
        <v>16</v>
      </c>
      <c r="G363" s="13">
        <f>1+10+12</f>
        <v>23</v>
      </c>
      <c r="H363" s="123" t="s">
        <v>100</v>
      </c>
    </row>
    <row r="364" spans="1:8" x14ac:dyDescent="0.25">
      <c r="A364" s="16" t="s">
        <v>3</v>
      </c>
      <c r="B364" s="16">
        <v>6067009107</v>
      </c>
      <c r="C364" s="7">
        <v>91.07</v>
      </c>
      <c r="D364" s="12" t="s">
        <v>3</v>
      </c>
      <c r="E364" s="13">
        <v>276</v>
      </c>
      <c r="F364" s="13">
        <f>59</f>
        <v>59</v>
      </c>
      <c r="G364" s="13">
        <f>51+30+9+9</f>
        <v>99</v>
      </c>
      <c r="H364" s="123" t="s">
        <v>100</v>
      </c>
    </row>
    <row r="365" spans="1:8" x14ac:dyDescent="0.25">
      <c r="A365" s="16" t="s">
        <v>3</v>
      </c>
      <c r="B365" s="16">
        <v>6067009108</v>
      </c>
      <c r="C365" s="7">
        <v>91.08</v>
      </c>
      <c r="D365" s="12" t="s">
        <v>3</v>
      </c>
      <c r="E365" s="13">
        <v>49</v>
      </c>
      <c r="F365" s="13">
        <f>1</f>
        <v>1</v>
      </c>
      <c r="G365" s="13">
        <f>112+4+8</f>
        <v>124</v>
      </c>
      <c r="H365" s="123" t="s">
        <v>100</v>
      </c>
    </row>
    <row r="366" spans="1:8" x14ac:dyDescent="0.25">
      <c r="A366" s="16" t="s">
        <v>3</v>
      </c>
      <c r="B366" s="16">
        <v>6067009109</v>
      </c>
      <c r="C366" s="7">
        <v>91.09</v>
      </c>
      <c r="D366" s="12" t="s">
        <v>3</v>
      </c>
      <c r="E366" s="13">
        <v>15</v>
      </c>
      <c r="F366" s="13">
        <f>49+1+2</f>
        <v>52</v>
      </c>
      <c r="G366" s="13">
        <f>4+3+0</f>
        <v>7</v>
      </c>
      <c r="H366" s="123" t="s">
        <v>100</v>
      </c>
    </row>
    <row r="367" spans="1:8" x14ac:dyDescent="0.25">
      <c r="A367" s="16" t="s">
        <v>3</v>
      </c>
      <c r="B367" s="16">
        <v>6067009110</v>
      </c>
      <c r="C367" s="7">
        <v>91.1</v>
      </c>
      <c r="D367" s="12" t="s">
        <v>3</v>
      </c>
      <c r="E367" s="13">
        <v>923</v>
      </c>
      <c r="F367" s="13">
        <f>8+7</f>
        <v>15</v>
      </c>
      <c r="G367" s="13">
        <f>19+5+23+32</f>
        <v>79</v>
      </c>
      <c r="H367" s="123" t="s">
        <v>100</v>
      </c>
    </row>
    <row r="368" spans="1:8" x14ac:dyDescent="0.25">
      <c r="A368" s="16" t="s">
        <v>3</v>
      </c>
      <c r="B368" s="16">
        <v>6067009111</v>
      </c>
      <c r="C368" s="7">
        <v>91.11</v>
      </c>
      <c r="D368" s="12" t="s">
        <v>3</v>
      </c>
      <c r="E368" s="13">
        <v>55</v>
      </c>
      <c r="F368" s="13">
        <f>162+34+7</f>
        <v>203</v>
      </c>
      <c r="G368" s="13">
        <f>69+13+7+4</f>
        <v>93</v>
      </c>
      <c r="H368" s="123" t="s">
        <v>100</v>
      </c>
    </row>
    <row r="369" spans="1:8" x14ac:dyDescent="0.25">
      <c r="A369" s="16" t="s">
        <v>3</v>
      </c>
      <c r="B369" s="16">
        <v>6067009112</v>
      </c>
      <c r="C369" s="7">
        <v>91.12</v>
      </c>
      <c r="D369" s="12" t="s">
        <v>3</v>
      </c>
      <c r="E369" s="13">
        <v>186</v>
      </c>
      <c r="F369" s="13">
        <f>272+30+69</f>
        <v>371</v>
      </c>
      <c r="G369" s="13">
        <f>3+80+0+13</f>
        <v>96</v>
      </c>
      <c r="H369" s="123" t="s">
        <v>100</v>
      </c>
    </row>
    <row r="370" spans="1:8" x14ac:dyDescent="0.25">
      <c r="A370" s="16" t="s">
        <v>3</v>
      </c>
      <c r="B370" s="16">
        <v>6067009201</v>
      </c>
      <c r="C370" s="7">
        <v>92.01</v>
      </c>
      <c r="D370" s="12" t="s">
        <v>3</v>
      </c>
      <c r="E370" s="13">
        <v>3325</v>
      </c>
      <c r="F370" s="13">
        <f>3239+2064+1848</f>
        <v>7151</v>
      </c>
      <c r="G370" s="13">
        <f>1765+805+101+613</f>
        <v>3284</v>
      </c>
      <c r="H370" s="123" t="s">
        <v>124</v>
      </c>
    </row>
    <row r="371" spans="1:8" x14ac:dyDescent="0.25">
      <c r="A371" s="16" t="s">
        <v>3</v>
      </c>
      <c r="B371" s="16">
        <v>6067009307</v>
      </c>
      <c r="C371" s="7">
        <v>93.07</v>
      </c>
      <c r="D371" s="12" t="s">
        <v>50</v>
      </c>
      <c r="E371" s="13">
        <v>80</v>
      </c>
      <c r="F371" s="13">
        <f>34+9+8</f>
        <v>51</v>
      </c>
      <c r="G371" s="13">
        <f>1+45+1+23</f>
        <v>70</v>
      </c>
      <c r="H371" s="123" t="s">
        <v>126</v>
      </c>
    </row>
    <row r="372" spans="1:8" x14ac:dyDescent="0.25">
      <c r="A372" s="16" t="s">
        <v>3</v>
      </c>
      <c r="B372" s="16">
        <v>6067009308</v>
      </c>
      <c r="C372" s="7">
        <v>93.08</v>
      </c>
      <c r="D372" s="12" t="s">
        <v>50</v>
      </c>
      <c r="E372" s="13">
        <v>576</v>
      </c>
      <c r="F372" s="13">
        <f>69+1+0</f>
        <v>70</v>
      </c>
      <c r="G372" s="13">
        <f>1+383+51+81</f>
        <v>516</v>
      </c>
      <c r="H372" s="123" t="s">
        <v>125</v>
      </c>
    </row>
    <row r="373" spans="1:8" x14ac:dyDescent="0.25">
      <c r="A373" s="16" t="s">
        <v>3</v>
      </c>
      <c r="B373" s="16">
        <v>6067009309</v>
      </c>
      <c r="C373" s="7">
        <v>93.09</v>
      </c>
      <c r="D373" s="12" t="s">
        <v>50</v>
      </c>
      <c r="E373" s="13">
        <v>134</v>
      </c>
      <c r="F373" s="13">
        <f>9+3+15</f>
        <v>27</v>
      </c>
      <c r="G373" s="13">
        <f>12+120+7+30</f>
        <v>169</v>
      </c>
      <c r="H373" s="123" t="s">
        <v>126</v>
      </c>
    </row>
    <row r="374" spans="1:8" x14ac:dyDescent="0.25">
      <c r="A374" s="16" t="s">
        <v>3</v>
      </c>
      <c r="B374" s="16">
        <v>6067009310</v>
      </c>
      <c r="C374" s="7">
        <v>93.1</v>
      </c>
      <c r="D374" s="12" t="s">
        <v>50</v>
      </c>
      <c r="E374" s="13">
        <v>609</v>
      </c>
      <c r="F374" s="13">
        <f>717+514+344</f>
        <v>1575</v>
      </c>
      <c r="G374" s="13">
        <f>137+304+18+307</f>
        <v>766</v>
      </c>
      <c r="H374" s="123" t="s">
        <v>125</v>
      </c>
    </row>
    <row r="375" spans="1:8" x14ac:dyDescent="0.25">
      <c r="A375" s="16" t="s">
        <v>3</v>
      </c>
      <c r="B375" s="16">
        <v>6067009311</v>
      </c>
      <c r="C375" s="7">
        <v>93.11</v>
      </c>
      <c r="D375" s="12" t="s">
        <v>3</v>
      </c>
      <c r="E375" s="13">
        <v>21</v>
      </c>
      <c r="F375" s="13">
        <f>62+3+2</f>
        <v>67</v>
      </c>
      <c r="G375" s="13">
        <f>3+7</f>
        <v>10</v>
      </c>
      <c r="H375" s="123" t="s">
        <v>126</v>
      </c>
    </row>
    <row r="376" spans="1:8" x14ac:dyDescent="0.25">
      <c r="A376" s="16" t="s">
        <v>3</v>
      </c>
      <c r="B376" s="16">
        <v>6067009312</v>
      </c>
      <c r="C376" s="7">
        <v>93.12</v>
      </c>
      <c r="D376" s="12" t="s">
        <v>3</v>
      </c>
      <c r="E376" s="13">
        <v>114</v>
      </c>
      <c r="F376" s="13">
        <f>39+27</f>
        <v>66</v>
      </c>
      <c r="G376" s="13">
        <f>150+1+27</f>
        <v>178</v>
      </c>
      <c r="H376" s="123" t="s">
        <v>126</v>
      </c>
    </row>
    <row r="377" spans="1:8" x14ac:dyDescent="0.25">
      <c r="A377" s="16" t="s">
        <v>3</v>
      </c>
      <c r="B377" s="16">
        <v>6067009314</v>
      </c>
      <c r="C377" s="7">
        <v>93.14</v>
      </c>
      <c r="D377" s="12" t="s">
        <v>50</v>
      </c>
      <c r="E377" s="13">
        <v>172</v>
      </c>
      <c r="F377" s="13">
        <f>23+14</f>
        <v>37</v>
      </c>
      <c r="G377" s="13">
        <f>7+314+4+54</f>
        <v>379</v>
      </c>
      <c r="H377" s="123" t="s">
        <v>126</v>
      </c>
    </row>
    <row r="378" spans="1:8" x14ac:dyDescent="0.25">
      <c r="A378" s="16" t="s">
        <v>3</v>
      </c>
      <c r="B378" s="16">
        <v>6067009316</v>
      </c>
      <c r="C378" s="7">
        <v>93.16</v>
      </c>
      <c r="D378" s="12" t="s">
        <v>3</v>
      </c>
      <c r="E378" s="13">
        <v>33</v>
      </c>
      <c r="F378" s="13">
        <f>40+166+1</f>
        <v>207</v>
      </c>
      <c r="G378" s="13">
        <f>8+6+0+39</f>
        <v>53</v>
      </c>
      <c r="H378" s="123" t="s">
        <v>126</v>
      </c>
    </row>
    <row r="379" spans="1:8" x14ac:dyDescent="0.25">
      <c r="A379" s="16" t="s">
        <v>3</v>
      </c>
      <c r="B379" s="16">
        <v>6067009317</v>
      </c>
      <c r="C379" s="7">
        <v>93.17</v>
      </c>
      <c r="D379" s="12" t="s">
        <v>3</v>
      </c>
      <c r="E379" s="13">
        <v>46</v>
      </c>
      <c r="F379" s="13">
        <f>10+1</f>
        <v>11</v>
      </c>
      <c r="G379" s="13">
        <f>3+55+7+12</f>
        <v>77</v>
      </c>
      <c r="H379" s="123" t="s">
        <v>126</v>
      </c>
    </row>
    <row r="380" spans="1:8" x14ac:dyDescent="0.25">
      <c r="A380" s="16" t="s">
        <v>3</v>
      </c>
      <c r="B380" s="16">
        <v>6067009318</v>
      </c>
      <c r="C380" s="7">
        <v>93.18</v>
      </c>
      <c r="D380" s="12" t="s">
        <v>3</v>
      </c>
      <c r="E380" s="13">
        <v>262</v>
      </c>
      <c r="F380" s="13">
        <f>249+417+70</f>
        <v>736</v>
      </c>
      <c r="G380" s="13">
        <f>106+68+0+169</f>
        <v>343</v>
      </c>
      <c r="H380" s="123" t="s">
        <v>126</v>
      </c>
    </row>
    <row r="381" spans="1:8" x14ac:dyDescent="0.25">
      <c r="A381" s="16" t="s">
        <v>3</v>
      </c>
      <c r="B381" s="16">
        <v>6067009319</v>
      </c>
      <c r="C381" s="7">
        <v>93.19</v>
      </c>
      <c r="D381" s="12" t="s">
        <v>3</v>
      </c>
      <c r="E381" s="13">
        <v>194</v>
      </c>
      <c r="F381" s="13">
        <f>2</f>
        <v>2</v>
      </c>
      <c r="G381" s="13">
        <f>506+17+7</f>
        <v>530</v>
      </c>
      <c r="H381" s="123" t="s">
        <v>126</v>
      </c>
    </row>
    <row r="382" spans="1:8" x14ac:dyDescent="0.25">
      <c r="A382" s="16" t="s">
        <v>3</v>
      </c>
      <c r="B382" s="16">
        <v>6067009320</v>
      </c>
      <c r="C382" s="7">
        <v>93.2</v>
      </c>
      <c r="D382" s="12" t="s">
        <v>3</v>
      </c>
      <c r="E382" s="13">
        <v>175</v>
      </c>
      <c r="F382" s="13">
        <f>3</f>
        <v>3</v>
      </c>
      <c r="G382" s="13">
        <f>484+10+0</f>
        <v>494</v>
      </c>
      <c r="H382" s="123" t="s">
        <v>126</v>
      </c>
    </row>
    <row r="383" spans="1:8" x14ac:dyDescent="0.25">
      <c r="A383" s="16" t="s">
        <v>3</v>
      </c>
      <c r="B383" s="16">
        <v>6067009321</v>
      </c>
      <c r="C383" s="7">
        <v>93.21</v>
      </c>
      <c r="D383" s="12" t="s">
        <v>3</v>
      </c>
      <c r="E383" s="13">
        <v>2</v>
      </c>
      <c r="F383" s="13">
        <f>6+2</f>
        <v>8</v>
      </c>
      <c r="G383" s="13">
        <f>2+1</f>
        <v>3</v>
      </c>
      <c r="H383" s="123" t="s">
        <v>126</v>
      </c>
    </row>
    <row r="384" spans="1:8" x14ac:dyDescent="0.25">
      <c r="A384" s="16" t="s">
        <v>3</v>
      </c>
      <c r="B384" s="16">
        <v>6067009322</v>
      </c>
      <c r="C384" s="7">
        <v>93.22</v>
      </c>
      <c r="D384" s="12" t="s">
        <v>50</v>
      </c>
      <c r="E384" s="13">
        <v>206</v>
      </c>
      <c r="F384" s="13">
        <f>36+33+5</f>
        <v>74</v>
      </c>
      <c r="G384" s="13">
        <f>285+4+64</f>
        <v>353</v>
      </c>
      <c r="H384" s="123" t="s">
        <v>126</v>
      </c>
    </row>
    <row r="385" spans="1:8" x14ac:dyDescent="0.25">
      <c r="A385" s="16" t="s">
        <v>3</v>
      </c>
      <c r="B385" s="16">
        <v>6067009323</v>
      </c>
      <c r="C385" s="7">
        <v>93.23</v>
      </c>
      <c r="D385" s="12" t="s">
        <v>50</v>
      </c>
      <c r="E385" s="13">
        <v>406</v>
      </c>
      <c r="F385" s="13">
        <f>32+13</f>
        <v>45</v>
      </c>
      <c r="G385" s="13">
        <f>5+532+0+40</f>
        <v>577</v>
      </c>
      <c r="H385" s="123" t="s">
        <v>126</v>
      </c>
    </row>
    <row r="386" spans="1:8" x14ac:dyDescent="0.25">
      <c r="A386" s="16" t="s">
        <v>3</v>
      </c>
      <c r="B386" s="16">
        <v>6067009324</v>
      </c>
      <c r="C386" s="7">
        <v>93.24</v>
      </c>
      <c r="D386" s="12" t="s">
        <v>50</v>
      </c>
      <c r="E386" s="13">
        <v>145</v>
      </c>
      <c r="F386" s="13">
        <f>141+22</f>
        <v>163</v>
      </c>
      <c r="G386" s="13">
        <f>2+45+5+12</f>
        <v>64</v>
      </c>
      <c r="H386" s="123" t="s">
        <v>126</v>
      </c>
    </row>
    <row r="387" spans="1:8" x14ac:dyDescent="0.25">
      <c r="A387" s="16" t="s">
        <v>3</v>
      </c>
      <c r="B387" s="16">
        <v>6067009325</v>
      </c>
      <c r="C387" s="7">
        <v>93.25</v>
      </c>
      <c r="D387" s="12" t="s">
        <v>50</v>
      </c>
      <c r="E387" s="13">
        <v>138</v>
      </c>
      <c r="F387" s="13">
        <f>290+22+4</f>
        <v>316</v>
      </c>
      <c r="G387" s="13">
        <f>37+193+0+8</f>
        <v>238</v>
      </c>
      <c r="H387" s="123" t="s">
        <v>126</v>
      </c>
    </row>
    <row r="388" spans="1:8" x14ac:dyDescent="0.25">
      <c r="A388" s="16" t="s">
        <v>3</v>
      </c>
      <c r="B388" s="16">
        <v>6067009326</v>
      </c>
      <c r="C388" s="7">
        <v>93.26</v>
      </c>
      <c r="D388" s="12" t="s">
        <v>3</v>
      </c>
      <c r="E388" s="13">
        <v>18</v>
      </c>
      <c r="F388" s="13">
        <f>36+21+47</f>
        <v>104</v>
      </c>
      <c r="G388" s="13">
        <f>2+6+4+1</f>
        <v>13</v>
      </c>
      <c r="H388" s="123" t="s">
        <v>126</v>
      </c>
    </row>
    <row r="389" spans="1:8" x14ac:dyDescent="0.25">
      <c r="A389" s="16" t="s">
        <v>3</v>
      </c>
      <c r="B389" s="16">
        <v>6067009328</v>
      </c>
      <c r="C389" s="7">
        <v>93.28</v>
      </c>
      <c r="D389" s="12" t="s">
        <v>50</v>
      </c>
      <c r="E389" s="13">
        <v>45</v>
      </c>
      <c r="F389" s="13">
        <f>29+20+45</f>
        <v>94</v>
      </c>
      <c r="G389" s="13">
        <f>12+7+7+21</f>
        <v>47</v>
      </c>
      <c r="H389" s="123" t="s">
        <v>126</v>
      </c>
    </row>
    <row r="390" spans="1:8" x14ac:dyDescent="0.25">
      <c r="A390" s="16" t="s">
        <v>3</v>
      </c>
      <c r="B390" s="16">
        <v>6067009329</v>
      </c>
      <c r="C390" s="7">
        <v>93.29</v>
      </c>
      <c r="D390" s="12" t="s">
        <v>3</v>
      </c>
      <c r="E390" s="13">
        <v>15</v>
      </c>
      <c r="F390" s="13">
        <f>3</f>
        <v>3</v>
      </c>
      <c r="G390" s="13">
        <v>8</v>
      </c>
      <c r="H390" s="123" t="s">
        <v>126</v>
      </c>
    </row>
    <row r="391" spans="1:8" x14ac:dyDescent="0.25">
      <c r="A391" s="16" t="s">
        <v>3</v>
      </c>
      <c r="B391" s="16">
        <v>6067009330</v>
      </c>
      <c r="C391" s="7">
        <v>93.3</v>
      </c>
      <c r="D391" s="12" t="s">
        <v>3</v>
      </c>
      <c r="E391" s="13">
        <v>43</v>
      </c>
      <c r="F391" s="13">
        <f>13+10+7</f>
        <v>30</v>
      </c>
      <c r="G391" s="13">
        <f>7+0+3</f>
        <v>10</v>
      </c>
      <c r="H391" s="123" t="s">
        <v>126</v>
      </c>
    </row>
    <row r="392" spans="1:8" x14ac:dyDescent="0.25">
      <c r="A392" s="16" t="s">
        <v>3</v>
      </c>
      <c r="B392" s="16">
        <v>6067009331</v>
      </c>
      <c r="C392" s="7">
        <v>93.31</v>
      </c>
      <c r="D392" s="12" t="s">
        <v>50</v>
      </c>
      <c r="E392" s="13">
        <v>24</v>
      </c>
      <c r="F392" s="13">
        <f>39+6+8</f>
        <v>53</v>
      </c>
      <c r="G392" s="13">
        <f>8+5+19</f>
        <v>32</v>
      </c>
      <c r="H392" s="123" t="s">
        <v>126</v>
      </c>
    </row>
    <row r="393" spans="1:8" x14ac:dyDescent="0.25">
      <c r="A393" s="16" t="s">
        <v>3</v>
      </c>
      <c r="B393" s="16">
        <v>6067009332</v>
      </c>
      <c r="C393" s="7">
        <v>93.32</v>
      </c>
      <c r="D393" s="12" t="s">
        <v>50</v>
      </c>
      <c r="E393" s="13">
        <v>24</v>
      </c>
      <c r="F393" s="13">
        <f>1+2+1</f>
        <v>4</v>
      </c>
      <c r="G393" s="13">
        <f>6+22+0+5</f>
        <v>33</v>
      </c>
      <c r="H393" s="123" t="s">
        <v>126</v>
      </c>
    </row>
    <row r="394" spans="1:8" x14ac:dyDescent="0.25">
      <c r="A394" s="16" t="s">
        <v>3</v>
      </c>
      <c r="B394" s="16">
        <v>6067009403</v>
      </c>
      <c r="C394" s="7">
        <v>94.03</v>
      </c>
      <c r="D394" s="12" t="s">
        <v>51</v>
      </c>
      <c r="E394" s="13">
        <v>79</v>
      </c>
      <c r="F394" s="13">
        <f>168+6+50</f>
        <v>224</v>
      </c>
      <c r="G394" s="13">
        <f>44+48+1+37</f>
        <v>130</v>
      </c>
      <c r="H394" s="123" t="s">
        <v>126</v>
      </c>
    </row>
    <row r="395" spans="1:8" x14ac:dyDescent="0.25">
      <c r="A395" s="16" t="s">
        <v>3</v>
      </c>
      <c r="B395" s="16">
        <v>6067009404</v>
      </c>
      <c r="C395" s="7">
        <v>94.04</v>
      </c>
      <c r="D395" s="12" t="s">
        <v>51</v>
      </c>
      <c r="E395" s="13">
        <v>98</v>
      </c>
      <c r="F395" s="13">
        <f>12+167+1</f>
        <v>180</v>
      </c>
      <c r="G395" s="13">
        <f>7+3</f>
        <v>10</v>
      </c>
      <c r="H395" s="123" t="s">
        <v>126</v>
      </c>
    </row>
    <row r="396" spans="1:8" x14ac:dyDescent="0.25">
      <c r="A396" s="16" t="s">
        <v>3</v>
      </c>
      <c r="B396" s="16">
        <v>6067009406</v>
      </c>
      <c r="C396" s="7">
        <v>94.06</v>
      </c>
      <c r="D396" s="12" t="s">
        <v>52</v>
      </c>
      <c r="E396" s="13">
        <v>16</v>
      </c>
      <c r="F396" s="13">
        <v>60</v>
      </c>
      <c r="G396" s="13">
        <f>10+1+0+8</f>
        <v>19</v>
      </c>
      <c r="H396" s="123" t="s">
        <v>126</v>
      </c>
    </row>
    <row r="397" spans="1:8" x14ac:dyDescent="0.25">
      <c r="A397" s="16" t="s">
        <v>3</v>
      </c>
      <c r="B397" s="16">
        <v>6067009407</v>
      </c>
      <c r="C397" s="7">
        <v>94.07</v>
      </c>
      <c r="D397" s="12" t="s">
        <v>53</v>
      </c>
      <c r="E397" s="13">
        <v>210</v>
      </c>
      <c r="F397" s="13">
        <f>39+9+11</f>
        <v>59</v>
      </c>
      <c r="G397" s="13">
        <f>7+255+7+14</f>
        <v>283</v>
      </c>
      <c r="H397" s="123" t="s">
        <v>126</v>
      </c>
    </row>
    <row r="398" spans="1:8" x14ac:dyDescent="0.25">
      <c r="A398" s="16" t="s">
        <v>3</v>
      </c>
      <c r="B398" s="16">
        <v>6067009408</v>
      </c>
      <c r="C398" s="7">
        <v>94.08</v>
      </c>
      <c r="D398" s="12" t="s">
        <v>53</v>
      </c>
      <c r="E398" s="13">
        <v>16</v>
      </c>
      <c r="F398" s="13">
        <f>2+26+9</f>
        <v>37</v>
      </c>
      <c r="G398" s="13">
        <f>23+20</f>
        <v>43</v>
      </c>
      <c r="H398" s="123" t="s">
        <v>126</v>
      </c>
    </row>
    <row r="399" spans="1:8" x14ac:dyDescent="0.25">
      <c r="A399" s="16" t="s">
        <v>3</v>
      </c>
      <c r="B399" s="16">
        <v>6067009501</v>
      </c>
      <c r="C399" s="7">
        <v>95.01</v>
      </c>
      <c r="D399" s="12" t="s">
        <v>53</v>
      </c>
      <c r="E399" s="13">
        <v>16</v>
      </c>
      <c r="F399" s="13">
        <f>6+4</f>
        <v>10</v>
      </c>
      <c r="G399" s="13">
        <f>10+3+2</f>
        <v>15</v>
      </c>
      <c r="H399" s="123" t="s">
        <v>126</v>
      </c>
    </row>
    <row r="400" spans="1:8" x14ac:dyDescent="0.25">
      <c r="A400" s="16" t="s">
        <v>3</v>
      </c>
      <c r="B400" s="16">
        <v>6067009502</v>
      </c>
      <c r="C400" s="7">
        <v>95.02</v>
      </c>
      <c r="D400" s="12" t="s">
        <v>53</v>
      </c>
      <c r="E400" s="13">
        <v>381</v>
      </c>
      <c r="F400" s="13">
        <f>34+14</f>
        <v>48</v>
      </c>
      <c r="G400" s="13">
        <f>15+6+1+7</f>
        <v>29</v>
      </c>
      <c r="H400" s="123" t="s">
        <v>126</v>
      </c>
    </row>
    <row r="401" spans="1:8" x14ac:dyDescent="0.25">
      <c r="A401" s="16" t="s">
        <v>3</v>
      </c>
      <c r="B401" s="16">
        <v>6067009503</v>
      </c>
      <c r="C401" s="7">
        <v>95.03</v>
      </c>
      <c r="D401" s="12" t="s">
        <v>53</v>
      </c>
      <c r="E401" s="13">
        <v>133</v>
      </c>
      <c r="F401" s="13">
        <f>35+249+8</f>
        <v>292</v>
      </c>
      <c r="G401" s="13">
        <f>70+52+11+11</f>
        <v>144</v>
      </c>
      <c r="H401" s="123" t="s">
        <v>126</v>
      </c>
    </row>
    <row r="402" spans="1:8" x14ac:dyDescent="0.25">
      <c r="A402" s="16" t="s">
        <v>3</v>
      </c>
      <c r="B402" s="16">
        <v>6067009504</v>
      </c>
      <c r="C402" s="7">
        <v>95.04</v>
      </c>
      <c r="D402" s="12" t="s">
        <v>53</v>
      </c>
      <c r="E402" s="13">
        <v>236</v>
      </c>
      <c r="F402" s="13">
        <f>16+10+8</f>
        <v>34</v>
      </c>
      <c r="G402" s="13">
        <f>46+188+3+26</f>
        <v>263</v>
      </c>
      <c r="H402" s="123" t="s">
        <v>126</v>
      </c>
    </row>
    <row r="403" spans="1:8" x14ac:dyDescent="0.25">
      <c r="A403" s="16" t="s">
        <v>3</v>
      </c>
      <c r="B403" s="16">
        <v>6067009601</v>
      </c>
      <c r="C403" s="7">
        <v>96.01</v>
      </c>
      <c r="D403" s="12" t="s">
        <v>3</v>
      </c>
      <c r="E403" s="13">
        <v>20</v>
      </c>
      <c r="F403" s="13">
        <f>3</f>
        <v>3</v>
      </c>
      <c r="G403" s="13">
        <f>0</f>
        <v>0</v>
      </c>
      <c r="H403" s="123" t="s">
        <v>126</v>
      </c>
    </row>
    <row r="404" spans="1:8" x14ac:dyDescent="0.25">
      <c r="A404" s="16" t="s">
        <v>3</v>
      </c>
      <c r="B404" s="16">
        <v>6067009606</v>
      </c>
      <c r="C404" s="7">
        <v>96.06</v>
      </c>
      <c r="D404" s="12" t="s">
        <v>3</v>
      </c>
      <c r="E404" s="13">
        <v>2150</v>
      </c>
      <c r="F404" s="13">
        <v>4</v>
      </c>
      <c r="G404" s="13">
        <f>422+17+45</f>
        <v>484</v>
      </c>
      <c r="H404" s="123" t="s">
        <v>125</v>
      </c>
    </row>
    <row r="405" spans="1:8" x14ac:dyDescent="0.25">
      <c r="A405" s="16" t="s">
        <v>3</v>
      </c>
      <c r="B405" s="16">
        <v>6067009608</v>
      </c>
      <c r="C405" s="7">
        <v>96.08</v>
      </c>
      <c r="D405" s="12" t="s">
        <v>50</v>
      </c>
      <c r="E405" s="13">
        <v>166</v>
      </c>
      <c r="F405" s="13">
        <f>1+20</f>
        <v>21</v>
      </c>
      <c r="G405" s="13">
        <f>58+29+27</f>
        <v>114</v>
      </c>
      <c r="H405" s="123" t="s">
        <v>126</v>
      </c>
    </row>
    <row r="406" spans="1:8" x14ac:dyDescent="0.25">
      <c r="A406" s="16" t="s">
        <v>3</v>
      </c>
      <c r="B406" s="16">
        <v>6067009609</v>
      </c>
      <c r="C406" s="7">
        <v>96.09</v>
      </c>
      <c r="D406" s="12" t="s">
        <v>3</v>
      </c>
      <c r="E406" s="13">
        <v>8</v>
      </c>
      <c r="F406" s="13">
        <f>6+1</f>
        <v>7</v>
      </c>
      <c r="G406" s="13">
        <f>2+3+2</f>
        <v>7</v>
      </c>
      <c r="H406" s="123" t="s">
        <v>126</v>
      </c>
    </row>
    <row r="407" spans="1:8" x14ac:dyDescent="0.25">
      <c r="A407" s="16" t="s">
        <v>3</v>
      </c>
      <c r="B407" s="16">
        <v>6067009610</v>
      </c>
      <c r="C407" s="7">
        <v>96.1</v>
      </c>
      <c r="D407" s="12" t="s">
        <v>3</v>
      </c>
      <c r="E407" s="13">
        <v>22</v>
      </c>
      <c r="F407" s="13">
        <f>1</f>
        <v>1</v>
      </c>
      <c r="G407" s="13">
        <f>4+0</f>
        <v>4</v>
      </c>
      <c r="H407" s="123" t="s">
        <v>126</v>
      </c>
    </row>
    <row r="408" spans="1:8" x14ac:dyDescent="0.25">
      <c r="A408" s="16" t="s">
        <v>3</v>
      </c>
      <c r="B408" s="16">
        <v>6067009611</v>
      </c>
      <c r="C408" s="7">
        <v>96.11</v>
      </c>
      <c r="D408" s="12" t="s">
        <v>50</v>
      </c>
      <c r="E408" s="13">
        <v>549</v>
      </c>
      <c r="F408" s="13">
        <f>18+13+14</f>
        <v>45</v>
      </c>
      <c r="G408" s="13">
        <f>397+17+15</f>
        <v>429</v>
      </c>
      <c r="H408" s="123" t="s">
        <v>126</v>
      </c>
    </row>
    <row r="409" spans="1:8" x14ac:dyDescent="0.25">
      <c r="A409" s="16" t="s">
        <v>3</v>
      </c>
      <c r="B409" s="16">
        <v>6067009612</v>
      </c>
      <c r="C409" s="7">
        <v>96.12</v>
      </c>
      <c r="D409" s="12" t="s">
        <v>50</v>
      </c>
      <c r="E409" s="13">
        <v>180</v>
      </c>
      <c r="F409" s="13">
        <f>14+31</f>
        <v>45</v>
      </c>
      <c r="G409" s="13">
        <f>161+11+7</f>
        <v>179</v>
      </c>
      <c r="H409" s="123" t="s">
        <v>126</v>
      </c>
    </row>
    <row r="410" spans="1:8" x14ac:dyDescent="0.25">
      <c r="A410" s="16" t="s">
        <v>3</v>
      </c>
      <c r="B410" s="16">
        <v>6067009614</v>
      </c>
      <c r="C410" s="7">
        <v>96.14</v>
      </c>
      <c r="D410" s="12" t="s">
        <v>50</v>
      </c>
      <c r="E410" s="13">
        <v>11</v>
      </c>
      <c r="F410" s="13">
        <f>18+16</f>
        <v>34</v>
      </c>
      <c r="G410" s="13">
        <f>8+4+1</f>
        <v>13</v>
      </c>
      <c r="H410" s="123" t="s">
        <v>126</v>
      </c>
    </row>
    <row r="411" spans="1:8" x14ac:dyDescent="0.25">
      <c r="A411" s="16" t="s">
        <v>3</v>
      </c>
      <c r="B411" s="16">
        <v>6067009615</v>
      </c>
      <c r="C411" s="7">
        <v>96.15</v>
      </c>
      <c r="D411" s="12" t="s">
        <v>50</v>
      </c>
      <c r="E411" s="13">
        <v>249</v>
      </c>
      <c r="F411" s="13">
        <f>18+2+0</f>
        <v>20</v>
      </c>
      <c r="G411" s="13">
        <f>121+40+27</f>
        <v>188</v>
      </c>
      <c r="H411" s="123" t="s">
        <v>126</v>
      </c>
    </row>
    <row r="412" spans="1:8" x14ac:dyDescent="0.25">
      <c r="A412" s="16" t="s">
        <v>3</v>
      </c>
      <c r="B412" s="16">
        <v>6067009616</v>
      </c>
      <c r="C412" s="7">
        <v>96.16</v>
      </c>
      <c r="D412" s="12" t="s">
        <v>50</v>
      </c>
      <c r="E412" s="13">
        <v>90</v>
      </c>
      <c r="F412" s="13">
        <f>22+3+5</f>
        <v>30</v>
      </c>
      <c r="G412" s="13">
        <f>1+135+2+62</f>
        <v>200</v>
      </c>
      <c r="H412" s="123" t="s">
        <v>126</v>
      </c>
    </row>
    <row r="413" spans="1:8" x14ac:dyDescent="0.25">
      <c r="A413" s="16" t="s">
        <v>3</v>
      </c>
      <c r="B413" s="16">
        <v>6067009617</v>
      </c>
      <c r="C413" s="7">
        <v>96.17</v>
      </c>
      <c r="D413" s="12" t="s">
        <v>50</v>
      </c>
      <c r="E413" s="13">
        <f>71</f>
        <v>71</v>
      </c>
      <c r="F413" s="13">
        <f>11+7+1</f>
        <v>19</v>
      </c>
      <c r="G413" s="13">
        <f>7+114+7+14</f>
        <v>142</v>
      </c>
      <c r="H413" s="123" t="s">
        <v>126</v>
      </c>
    </row>
    <row r="414" spans="1:8" x14ac:dyDescent="0.25">
      <c r="A414" s="16" t="s">
        <v>3</v>
      </c>
      <c r="B414" s="16">
        <v>6067009618</v>
      </c>
      <c r="C414" s="7">
        <v>96.18</v>
      </c>
      <c r="D414" s="12" t="s">
        <v>50</v>
      </c>
      <c r="E414" s="13">
        <v>779</v>
      </c>
      <c r="F414" s="13">
        <f>36+1025+40</f>
        <v>1101</v>
      </c>
      <c r="G414" s="13">
        <f>189+44+21+25</f>
        <v>279</v>
      </c>
      <c r="H414" s="123" t="s">
        <v>126</v>
      </c>
    </row>
    <row r="415" spans="1:8" x14ac:dyDescent="0.25">
      <c r="A415" s="16" t="s">
        <v>3</v>
      </c>
      <c r="B415" s="16">
        <v>6067009619</v>
      </c>
      <c r="C415" s="7">
        <v>96.19</v>
      </c>
      <c r="D415" s="12" t="s">
        <v>50</v>
      </c>
      <c r="E415" s="13">
        <v>121</v>
      </c>
      <c r="F415" s="13">
        <f>16+7</f>
        <v>23</v>
      </c>
      <c r="G415" s="13">
        <f>1+19+15+26</f>
        <v>61</v>
      </c>
      <c r="H415" s="123" t="s">
        <v>126</v>
      </c>
    </row>
    <row r="416" spans="1:8" x14ac:dyDescent="0.25">
      <c r="A416" s="16" t="s">
        <v>3</v>
      </c>
      <c r="B416" s="16">
        <v>6067009622</v>
      </c>
      <c r="C416" s="7">
        <v>96.22</v>
      </c>
      <c r="D416" s="12" t="s">
        <v>50</v>
      </c>
      <c r="E416" s="13">
        <v>75</v>
      </c>
      <c r="F416" s="13">
        <f>97+3+0</f>
        <v>100</v>
      </c>
      <c r="G416" s="13">
        <f>8+25+7+7</f>
        <v>47</v>
      </c>
      <c r="H416" s="123" t="s">
        <v>126</v>
      </c>
    </row>
    <row r="417" spans="1:8" x14ac:dyDescent="0.25">
      <c r="A417" s="16" t="s">
        <v>3</v>
      </c>
      <c r="B417" s="16">
        <v>6067009630</v>
      </c>
      <c r="C417" s="7">
        <v>96.3</v>
      </c>
      <c r="D417" s="12" t="s">
        <v>50</v>
      </c>
      <c r="E417" s="13">
        <v>19</v>
      </c>
      <c r="F417" s="13">
        <f>16+4</f>
        <v>20</v>
      </c>
      <c r="G417" s="13">
        <f>6+8+3+6</f>
        <v>23</v>
      </c>
      <c r="H417" s="123" t="s">
        <v>126</v>
      </c>
    </row>
    <row r="418" spans="1:8" x14ac:dyDescent="0.25">
      <c r="A418" s="16" t="s">
        <v>3</v>
      </c>
      <c r="B418" s="16">
        <v>6067009632</v>
      </c>
      <c r="C418" s="7">
        <v>96.32</v>
      </c>
      <c r="D418" s="12" t="s">
        <v>50</v>
      </c>
      <c r="E418" s="13">
        <v>225</v>
      </c>
      <c r="F418" s="13">
        <f>52+32</f>
        <v>84</v>
      </c>
      <c r="G418" s="13">
        <f>3+319+1+40</f>
        <v>363</v>
      </c>
      <c r="H418" s="123" t="s">
        <v>126</v>
      </c>
    </row>
    <row r="419" spans="1:8" x14ac:dyDescent="0.25">
      <c r="A419" s="16" t="s">
        <v>3</v>
      </c>
      <c r="B419" s="16">
        <v>6067009633</v>
      </c>
      <c r="C419" s="7">
        <v>96.33</v>
      </c>
      <c r="D419" s="12" t="s">
        <v>3</v>
      </c>
      <c r="E419" s="13">
        <v>4</v>
      </c>
      <c r="F419" s="13">
        <v>5</v>
      </c>
      <c r="G419" s="13">
        <f>0</f>
        <v>0</v>
      </c>
      <c r="H419" s="123" t="s">
        <v>126</v>
      </c>
    </row>
    <row r="420" spans="1:8" x14ac:dyDescent="0.25">
      <c r="A420" s="16" t="s">
        <v>3</v>
      </c>
      <c r="B420" s="16">
        <v>6067009634</v>
      </c>
      <c r="C420" s="7">
        <v>96.34</v>
      </c>
      <c r="D420" s="12" t="s">
        <v>3</v>
      </c>
      <c r="E420" s="13">
        <v>252</v>
      </c>
      <c r="F420" s="13">
        <f>3+10+0</f>
        <v>13</v>
      </c>
      <c r="G420" s="13">
        <f>6+662+17+21</f>
        <v>706</v>
      </c>
      <c r="H420" s="123" t="s">
        <v>126</v>
      </c>
    </row>
    <row r="421" spans="1:8" x14ac:dyDescent="0.25">
      <c r="A421" s="16" t="s">
        <v>3</v>
      </c>
      <c r="B421" s="16">
        <v>6067009635</v>
      </c>
      <c r="C421" s="7">
        <v>96.35</v>
      </c>
      <c r="D421" s="12" t="s">
        <v>50</v>
      </c>
      <c r="E421" s="13">
        <v>35</v>
      </c>
      <c r="F421" s="13">
        <f>25+4+1</f>
        <v>30</v>
      </c>
      <c r="G421" s="13">
        <f>82+5+8</f>
        <v>95</v>
      </c>
      <c r="H421" s="123" t="s">
        <v>126</v>
      </c>
    </row>
    <row r="422" spans="1:8" x14ac:dyDescent="0.25">
      <c r="A422" s="16" t="s">
        <v>3</v>
      </c>
      <c r="B422" s="16">
        <v>6067009636</v>
      </c>
      <c r="C422" s="7">
        <v>96.36</v>
      </c>
      <c r="D422" s="12" t="s">
        <v>50</v>
      </c>
      <c r="E422" s="13">
        <v>59</v>
      </c>
      <c r="F422" s="13">
        <f>10+3+0</f>
        <v>13</v>
      </c>
      <c r="G422" s="13">
        <f>2+7+0+66</f>
        <v>75</v>
      </c>
      <c r="H422" s="123" t="s">
        <v>126</v>
      </c>
    </row>
    <row r="423" spans="1:8" x14ac:dyDescent="0.25">
      <c r="A423" s="16" t="s">
        <v>3</v>
      </c>
      <c r="B423" s="16">
        <v>6067009637</v>
      </c>
      <c r="C423" s="7">
        <v>96.37</v>
      </c>
      <c r="D423" s="12" t="s">
        <v>50</v>
      </c>
      <c r="E423" s="13">
        <v>36</v>
      </c>
      <c r="F423" s="13">
        <f>1+1</f>
        <v>2</v>
      </c>
      <c r="G423" s="13">
        <f>9+6+1+8</f>
        <v>24</v>
      </c>
      <c r="H423" s="123" t="s">
        <v>126</v>
      </c>
    </row>
    <row r="424" spans="1:8" x14ac:dyDescent="0.25">
      <c r="A424" s="16" t="s">
        <v>3</v>
      </c>
      <c r="B424" s="16">
        <v>6067009638</v>
      </c>
      <c r="C424" s="7">
        <v>96.38</v>
      </c>
      <c r="D424" s="12" t="s">
        <v>50</v>
      </c>
      <c r="E424" s="13">
        <v>257</v>
      </c>
      <c r="F424" s="13">
        <f>7+79+17</f>
        <v>103</v>
      </c>
      <c r="G424" s="13">
        <f>45+1473+65+28</f>
        <v>1611</v>
      </c>
      <c r="H424" s="123" t="s">
        <v>126</v>
      </c>
    </row>
    <row r="425" spans="1:8" x14ac:dyDescent="0.25">
      <c r="A425" s="16" t="s">
        <v>3</v>
      </c>
      <c r="B425" s="16">
        <v>6067009639</v>
      </c>
      <c r="C425" s="7">
        <v>96.39</v>
      </c>
      <c r="D425" s="12" t="s">
        <v>50</v>
      </c>
      <c r="E425" s="13">
        <v>1018</v>
      </c>
      <c r="F425" s="13">
        <f>2+4+4</f>
        <v>10</v>
      </c>
      <c r="G425" s="13">
        <f>4+1532+9+152</f>
        <v>1697</v>
      </c>
      <c r="H425" s="123" t="s">
        <v>127</v>
      </c>
    </row>
    <row r="426" spans="1:8" x14ac:dyDescent="0.25">
      <c r="A426" s="16" t="s">
        <v>3</v>
      </c>
      <c r="B426" s="16">
        <v>6067009800</v>
      </c>
      <c r="C426" s="7">
        <v>98</v>
      </c>
      <c r="D426" s="12" t="s">
        <v>54</v>
      </c>
      <c r="E426" s="13">
        <v>14</v>
      </c>
      <c r="F426" s="13">
        <f>12+0</f>
        <v>12</v>
      </c>
      <c r="G426" s="13">
        <f>4+15+2+0</f>
        <v>21</v>
      </c>
      <c r="H426" s="123" t="s">
        <v>128</v>
      </c>
    </row>
    <row r="427" spans="1:8" x14ac:dyDescent="0.25">
      <c r="A427" s="16" t="s">
        <v>3</v>
      </c>
      <c r="B427" s="16">
        <v>6067009900</v>
      </c>
      <c r="C427" s="7">
        <v>99</v>
      </c>
      <c r="D427" s="12" t="s">
        <v>55</v>
      </c>
      <c r="E427" s="13">
        <v>186</v>
      </c>
      <c r="F427" s="13">
        <f>57+63+63</f>
        <v>183</v>
      </c>
      <c r="G427" s="13">
        <f>76+12+6+49</f>
        <v>143</v>
      </c>
      <c r="H427" s="123" t="s">
        <v>128</v>
      </c>
    </row>
    <row r="428" spans="1:8" x14ac:dyDescent="0.25">
      <c r="A428" s="16" t="s">
        <v>3</v>
      </c>
      <c r="B428" s="16">
        <v>6067988300</v>
      </c>
      <c r="C428" s="7">
        <v>9883</v>
      </c>
      <c r="D428" s="12" t="s">
        <v>46</v>
      </c>
      <c r="E428" s="13">
        <v>82</v>
      </c>
      <c r="F428" s="13">
        <f>0</f>
        <v>0</v>
      </c>
      <c r="G428" s="13">
        <f>5+9</f>
        <v>14</v>
      </c>
      <c r="H428" s="123" t="s">
        <v>100</v>
      </c>
    </row>
    <row r="429" spans="1:8" x14ac:dyDescent="0.25">
      <c r="A429" s="16" t="s">
        <v>4</v>
      </c>
      <c r="B429" s="16">
        <v>6101050101</v>
      </c>
      <c r="C429" s="7">
        <v>501.01</v>
      </c>
      <c r="D429" s="12" t="s">
        <v>56</v>
      </c>
      <c r="E429" s="13">
        <v>108</v>
      </c>
      <c r="F429" s="13">
        <f>193+15+1</f>
        <v>209</v>
      </c>
      <c r="G429" s="13">
        <f>5+55+5+30</f>
        <v>95</v>
      </c>
      <c r="H429" s="123" t="s">
        <v>129</v>
      </c>
    </row>
    <row r="430" spans="1:8" x14ac:dyDescent="0.25">
      <c r="A430" s="6" t="s">
        <v>4</v>
      </c>
      <c r="B430" s="6">
        <v>6101050102</v>
      </c>
      <c r="C430" s="7">
        <v>501.02</v>
      </c>
      <c r="D430" s="12" t="s">
        <v>56</v>
      </c>
      <c r="E430" s="13">
        <v>590</v>
      </c>
      <c r="F430" s="13">
        <f>42+6</f>
        <v>48</v>
      </c>
      <c r="G430" s="13">
        <f>541+28+20</f>
        <v>589</v>
      </c>
      <c r="H430" s="123" t="s">
        <v>129</v>
      </c>
    </row>
    <row r="431" spans="1:8" x14ac:dyDescent="0.25">
      <c r="A431" s="6" t="s">
        <v>4</v>
      </c>
      <c r="B431" s="6">
        <v>6101050201</v>
      </c>
      <c r="C431" s="7">
        <v>502.01</v>
      </c>
      <c r="D431" s="12" t="s">
        <v>56</v>
      </c>
      <c r="E431" s="13">
        <v>309</v>
      </c>
      <c r="F431" s="13">
        <f>37+8+12</f>
        <v>57</v>
      </c>
      <c r="G431" s="13">
        <f>13+373+6+53</f>
        <v>445</v>
      </c>
      <c r="H431" s="123" t="s">
        <v>129</v>
      </c>
    </row>
    <row r="432" spans="1:8" x14ac:dyDescent="0.25">
      <c r="A432" s="16" t="s">
        <v>4</v>
      </c>
      <c r="B432" s="16">
        <v>6101050202</v>
      </c>
      <c r="C432" s="7">
        <v>502.02</v>
      </c>
      <c r="D432" s="12" t="s">
        <v>56</v>
      </c>
      <c r="E432" s="13">
        <v>8</v>
      </c>
      <c r="F432" s="13">
        <f>8+15</f>
        <v>23</v>
      </c>
      <c r="G432" s="13">
        <f>2+3</f>
        <v>5</v>
      </c>
      <c r="H432" s="123" t="s">
        <v>129</v>
      </c>
    </row>
    <row r="433" spans="1:8" x14ac:dyDescent="0.25">
      <c r="A433" s="16" t="s">
        <v>4</v>
      </c>
      <c r="B433" s="16">
        <v>6101050301</v>
      </c>
      <c r="C433" s="7">
        <v>503.01</v>
      </c>
      <c r="D433" s="12" t="s">
        <v>56</v>
      </c>
      <c r="E433" s="13">
        <v>73</v>
      </c>
      <c r="F433" s="13">
        <f>1+20+2</f>
        <v>23</v>
      </c>
      <c r="G433" s="13">
        <f>18+58+58</f>
        <v>134</v>
      </c>
      <c r="H433" s="123" t="s">
        <v>129</v>
      </c>
    </row>
    <row r="434" spans="1:8" x14ac:dyDescent="0.25">
      <c r="A434" s="16" t="s">
        <v>4</v>
      </c>
      <c r="B434" s="16">
        <v>6101050302</v>
      </c>
      <c r="C434" s="7">
        <v>503.02</v>
      </c>
      <c r="D434" s="12" t="s">
        <v>56</v>
      </c>
      <c r="E434" s="13">
        <v>107</v>
      </c>
      <c r="F434" s="13">
        <f>26+5</f>
        <v>31</v>
      </c>
      <c r="G434" s="13">
        <f>13+103+5+70</f>
        <v>191</v>
      </c>
      <c r="H434" s="123" t="s">
        <v>129</v>
      </c>
    </row>
    <row r="435" spans="1:8" x14ac:dyDescent="0.25">
      <c r="A435" s="16" t="s">
        <v>4</v>
      </c>
      <c r="B435" s="16">
        <v>6101050401</v>
      </c>
      <c r="C435" s="7">
        <v>504.01</v>
      </c>
      <c r="D435" s="12" t="s">
        <v>56</v>
      </c>
      <c r="E435" s="13">
        <v>125</v>
      </c>
      <c r="F435" s="13">
        <f>19+3</f>
        <v>22</v>
      </c>
      <c r="G435" s="13">
        <f>2+65+31+12</f>
        <v>110</v>
      </c>
      <c r="H435" s="123" t="s">
        <v>129</v>
      </c>
    </row>
    <row r="436" spans="1:8" x14ac:dyDescent="0.25">
      <c r="A436" s="16" t="s">
        <v>4</v>
      </c>
      <c r="B436" s="16">
        <v>6101050402</v>
      </c>
      <c r="C436" s="7">
        <v>504.02</v>
      </c>
      <c r="D436" s="12" t="s">
        <v>56</v>
      </c>
      <c r="E436" s="13">
        <v>146</v>
      </c>
      <c r="F436" s="13">
        <f>13+3+365</f>
        <v>381</v>
      </c>
      <c r="G436" s="13">
        <f>44+26+1+1</f>
        <v>72</v>
      </c>
      <c r="H436" s="123" t="s">
        <v>129</v>
      </c>
    </row>
    <row r="437" spans="1:8" x14ac:dyDescent="0.25">
      <c r="A437" s="16" t="s">
        <v>4</v>
      </c>
      <c r="B437" s="16">
        <v>6101050403</v>
      </c>
      <c r="C437" s="7">
        <v>504.03</v>
      </c>
      <c r="D437" s="12" t="s">
        <v>56</v>
      </c>
      <c r="E437" s="13">
        <v>65</v>
      </c>
      <c r="F437" s="13">
        <f>149+153+86</f>
        <v>388</v>
      </c>
      <c r="G437" s="13">
        <f>60+42+4+15</f>
        <v>121</v>
      </c>
      <c r="H437" s="123" t="s">
        <v>129</v>
      </c>
    </row>
    <row r="438" spans="1:8" x14ac:dyDescent="0.25">
      <c r="A438" s="16" t="s">
        <v>4</v>
      </c>
      <c r="B438" s="16">
        <v>6101050501</v>
      </c>
      <c r="C438" s="7">
        <v>505.01</v>
      </c>
      <c r="D438" s="12" t="s">
        <v>56</v>
      </c>
      <c r="E438" s="13">
        <v>944</v>
      </c>
      <c r="F438" s="13">
        <f>85+153+814+26</f>
        <v>1078</v>
      </c>
      <c r="G438" s="13">
        <f>195+607+67+140</f>
        <v>1009</v>
      </c>
      <c r="H438" s="123" t="s">
        <v>130</v>
      </c>
    </row>
    <row r="439" spans="1:8" x14ac:dyDescent="0.25">
      <c r="A439" s="16" t="s">
        <v>4</v>
      </c>
      <c r="B439" s="16">
        <v>6101050503</v>
      </c>
      <c r="C439" s="7">
        <v>505.03</v>
      </c>
      <c r="D439" s="12" t="s">
        <v>56</v>
      </c>
      <c r="E439" s="13">
        <v>84</v>
      </c>
      <c r="F439" s="13">
        <v>8</v>
      </c>
      <c r="G439" s="13">
        <f>191+2</f>
        <v>193</v>
      </c>
      <c r="H439" s="123" t="s">
        <v>129</v>
      </c>
    </row>
    <row r="440" spans="1:8" x14ac:dyDescent="0.25">
      <c r="A440" s="16" t="s">
        <v>4</v>
      </c>
      <c r="B440" s="16">
        <v>6101050504</v>
      </c>
      <c r="C440" s="7">
        <v>505.04</v>
      </c>
      <c r="D440" s="12" t="s">
        <v>56</v>
      </c>
      <c r="E440" s="13">
        <v>56</v>
      </c>
      <c r="F440" s="13">
        <f>73+47</f>
        <v>120</v>
      </c>
      <c r="G440" s="13">
        <f>35+29+2</f>
        <v>66</v>
      </c>
      <c r="H440" s="123" t="s">
        <v>129</v>
      </c>
    </row>
    <row r="441" spans="1:8" x14ac:dyDescent="0.25">
      <c r="A441" s="16" t="s">
        <v>4</v>
      </c>
      <c r="B441" s="16">
        <v>6101050601</v>
      </c>
      <c r="C441" s="7">
        <v>506.01</v>
      </c>
      <c r="D441" s="12" t="s">
        <v>56</v>
      </c>
      <c r="E441" s="13">
        <v>490</v>
      </c>
      <c r="F441" s="13">
        <f>25+35+49+44</f>
        <v>153</v>
      </c>
      <c r="G441" s="13">
        <f>823+1+40</f>
        <v>864</v>
      </c>
      <c r="H441" s="123" t="s">
        <v>129</v>
      </c>
    </row>
    <row r="442" spans="1:8" x14ac:dyDescent="0.25">
      <c r="A442" s="16" t="s">
        <v>4</v>
      </c>
      <c r="B442" s="16">
        <v>6101050603</v>
      </c>
      <c r="C442" s="7">
        <v>506.03</v>
      </c>
      <c r="D442" s="12" t="s">
        <v>56</v>
      </c>
      <c r="E442" s="13">
        <v>246</v>
      </c>
      <c r="F442" s="13">
        <f>113+45+136</f>
        <v>294</v>
      </c>
      <c r="G442" s="13">
        <f>43+134+28+35</f>
        <v>240</v>
      </c>
      <c r="H442" s="123" t="s">
        <v>129</v>
      </c>
    </row>
    <row r="443" spans="1:8" x14ac:dyDescent="0.25">
      <c r="A443" s="16" t="s">
        <v>4</v>
      </c>
      <c r="B443" s="16">
        <v>6101050604</v>
      </c>
      <c r="C443" s="7">
        <v>506.04</v>
      </c>
      <c r="D443" s="12" t="s">
        <v>56</v>
      </c>
      <c r="E443" s="13">
        <v>174</v>
      </c>
      <c r="F443" s="13">
        <f>8+3</f>
        <v>11</v>
      </c>
      <c r="G443" s="13">
        <f>70+41+54+24</f>
        <v>189</v>
      </c>
      <c r="H443" s="123" t="s">
        <v>129</v>
      </c>
    </row>
    <row r="444" spans="1:8" x14ac:dyDescent="0.25">
      <c r="A444" s="16" t="s">
        <v>4</v>
      </c>
      <c r="B444" s="16">
        <v>6101050701</v>
      </c>
      <c r="C444" s="7">
        <v>507.01</v>
      </c>
      <c r="D444" s="12" t="s">
        <v>57</v>
      </c>
      <c r="E444" s="13">
        <v>140</v>
      </c>
      <c r="F444" s="13">
        <f>7+112</f>
        <v>119</v>
      </c>
      <c r="G444" s="13">
        <f>45+89+1+0</f>
        <v>135</v>
      </c>
      <c r="H444" s="123" t="s">
        <v>129</v>
      </c>
    </row>
    <row r="445" spans="1:8" x14ac:dyDescent="0.25">
      <c r="A445" s="16" t="s">
        <v>4</v>
      </c>
      <c r="B445" s="16">
        <v>6101050702</v>
      </c>
      <c r="C445" s="7">
        <v>507.02</v>
      </c>
      <c r="D445" s="12" t="s">
        <v>57</v>
      </c>
      <c r="E445" s="13">
        <v>51</v>
      </c>
      <c r="F445" s="13">
        <f>31+33+18</f>
        <v>82</v>
      </c>
      <c r="G445" s="13">
        <f>10+19+2+0</f>
        <v>31</v>
      </c>
      <c r="H445" s="123" t="s">
        <v>129</v>
      </c>
    </row>
    <row r="446" spans="1:8" x14ac:dyDescent="0.25">
      <c r="A446" s="16" t="s">
        <v>4</v>
      </c>
      <c r="B446" s="16">
        <v>6101050800</v>
      </c>
      <c r="C446" s="7">
        <v>508</v>
      </c>
      <c r="D446" s="12" t="s">
        <v>57</v>
      </c>
      <c r="E446" s="13">
        <v>5</v>
      </c>
      <c r="F446" s="13">
        <f>15+1</f>
        <v>16</v>
      </c>
      <c r="G446" s="13">
        <f>15+5+0+4</f>
        <v>24</v>
      </c>
      <c r="H446" s="123" t="s">
        <v>129</v>
      </c>
    </row>
    <row r="447" spans="1:8" x14ac:dyDescent="0.25">
      <c r="A447" s="16" t="s">
        <v>4</v>
      </c>
      <c r="B447" s="16">
        <v>6101050900</v>
      </c>
      <c r="C447" s="7">
        <v>509</v>
      </c>
      <c r="D447" s="12" t="s">
        <v>58</v>
      </c>
      <c r="E447" s="13">
        <v>38</v>
      </c>
      <c r="F447" s="13">
        <f>4+29+0</f>
        <v>33</v>
      </c>
      <c r="G447" s="13">
        <f>1+22+1</f>
        <v>24</v>
      </c>
      <c r="H447" s="123" t="s">
        <v>129</v>
      </c>
    </row>
    <row r="448" spans="1:8" x14ac:dyDescent="0.25">
      <c r="A448" s="16" t="s">
        <v>4</v>
      </c>
      <c r="B448" s="16">
        <v>6101051000</v>
      </c>
      <c r="C448" s="7">
        <v>510</v>
      </c>
      <c r="D448" s="12" t="s">
        <v>56</v>
      </c>
      <c r="E448" s="13">
        <v>112</v>
      </c>
      <c r="F448" s="13">
        <f>40+16+14</f>
        <v>70</v>
      </c>
      <c r="G448" s="13">
        <f>77+18+3</f>
        <v>98</v>
      </c>
      <c r="H448" s="123" t="s">
        <v>129</v>
      </c>
    </row>
    <row r="449" spans="1:8" x14ac:dyDescent="0.25">
      <c r="A449" s="16" t="s">
        <v>4</v>
      </c>
      <c r="B449" s="16">
        <v>6101051100</v>
      </c>
      <c r="C449" s="7">
        <v>511</v>
      </c>
      <c r="D449" s="12" t="s">
        <v>59</v>
      </c>
      <c r="E449" s="13">
        <v>206</v>
      </c>
      <c r="F449" s="13">
        <f>5+32+1+25</f>
        <v>63</v>
      </c>
      <c r="G449" s="13">
        <f>677+20+54+14</f>
        <v>765</v>
      </c>
      <c r="H449" s="123" t="s">
        <v>129</v>
      </c>
    </row>
    <row r="450" spans="1:8" x14ac:dyDescent="0.25">
      <c r="A450" s="16" t="s">
        <v>5</v>
      </c>
      <c r="B450" s="16">
        <v>6113010101</v>
      </c>
      <c r="C450" s="7">
        <v>101.01</v>
      </c>
      <c r="D450" s="12" t="s">
        <v>60</v>
      </c>
      <c r="E450" s="13">
        <v>477</v>
      </c>
      <c r="F450" s="13">
        <f>124+59+207</f>
        <v>390</v>
      </c>
      <c r="G450" s="13">
        <f>86+93+18+29</f>
        <v>226</v>
      </c>
      <c r="H450" s="123" t="s">
        <v>129</v>
      </c>
    </row>
    <row r="451" spans="1:8" s="19" customFormat="1" x14ac:dyDescent="0.25">
      <c r="A451" s="20" t="s">
        <v>5</v>
      </c>
      <c r="B451" s="22">
        <v>6113010102</v>
      </c>
      <c r="C451" s="7">
        <v>101.02</v>
      </c>
      <c r="D451" s="21" t="s">
        <v>60</v>
      </c>
      <c r="E451" s="13">
        <v>1353</v>
      </c>
      <c r="F451" s="13">
        <v>536</v>
      </c>
      <c r="G451" s="13">
        <f>1975+53</f>
        <v>2028</v>
      </c>
      <c r="H451" s="123" t="s">
        <v>87</v>
      </c>
    </row>
    <row r="452" spans="1:8" x14ac:dyDescent="0.25">
      <c r="A452" s="16" t="s">
        <v>5</v>
      </c>
      <c r="B452" s="16">
        <v>6113010201</v>
      </c>
      <c r="C452" s="7">
        <v>102.01</v>
      </c>
      <c r="D452" s="12" t="s">
        <v>60</v>
      </c>
      <c r="E452" s="13">
        <v>286</v>
      </c>
      <c r="F452" s="13">
        <f>4+295+13</f>
        <v>312</v>
      </c>
      <c r="G452" s="13">
        <f>69+184+23+62</f>
        <v>338</v>
      </c>
      <c r="H452" s="123" t="s">
        <v>131</v>
      </c>
    </row>
    <row r="453" spans="1:8" x14ac:dyDescent="0.25">
      <c r="A453" s="16" t="s">
        <v>5</v>
      </c>
      <c r="B453" s="16">
        <v>6113010203</v>
      </c>
      <c r="C453" s="7">
        <v>102.03</v>
      </c>
      <c r="D453" s="12" t="s">
        <v>60</v>
      </c>
      <c r="E453" s="13">
        <v>3814</v>
      </c>
      <c r="F453" s="13">
        <f>1260+1616+2225</f>
        <v>5101</v>
      </c>
      <c r="G453" s="13">
        <f>2211+682+394+508</f>
        <v>3795</v>
      </c>
      <c r="H453" s="123" t="s">
        <v>132</v>
      </c>
    </row>
    <row r="454" spans="1:8" x14ac:dyDescent="0.25">
      <c r="A454" s="16" t="s">
        <v>5</v>
      </c>
      <c r="B454" s="16">
        <v>6113010204</v>
      </c>
      <c r="C454" s="7">
        <v>102.04</v>
      </c>
      <c r="D454" s="12" t="s">
        <v>60</v>
      </c>
      <c r="E454" s="13">
        <v>71</v>
      </c>
      <c r="F454" s="13">
        <f>20+7</f>
        <v>27</v>
      </c>
      <c r="G454" s="13">
        <f>8+126+11+23</f>
        <v>168</v>
      </c>
      <c r="H454" s="123" t="s">
        <v>131</v>
      </c>
    </row>
    <row r="455" spans="1:8" x14ac:dyDescent="0.25">
      <c r="A455" s="16" t="s">
        <v>5</v>
      </c>
      <c r="B455" s="16">
        <v>6113010302</v>
      </c>
      <c r="C455" s="7">
        <v>103.02</v>
      </c>
      <c r="D455" s="12" t="s">
        <v>60</v>
      </c>
      <c r="E455" s="13">
        <v>190</v>
      </c>
      <c r="F455" s="13">
        <f>22+1+19</f>
        <v>42</v>
      </c>
      <c r="G455" s="13">
        <f>2+378+2+72</f>
        <v>454</v>
      </c>
      <c r="H455" s="123" t="s">
        <v>131</v>
      </c>
    </row>
    <row r="456" spans="1:8" x14ac:dyDescent="0.25">
      <c r="A456" s="16" t="s">
        <v>5</v>
      </c>
      <c r="B456" s="16">
        <v>6113010310</v>
      </c>
      <c r="C456" s="7">
        <v>103.1</v>
      </c>
      <c r="D456" s="12" t="s">
        <v>60</v>
      </c>
      <c r="E456" s="13">
        <v>690</v>
      </c>
      <c r="F456" s="13">
        <f>80+221+522</f>
        <v>823</v>
      </c>
      <c r="G456" s="13">
        <f>527+20+156+4</f>
        <v>707</v>
      </c>
      <c r="H456" s="123" t="s">
        <v>131</v>
      </c>
    </row>
    <row r="457" spans="1:8" x14ac:dyDescent="0.25">
      <c r="A457" s="16" t="s">
        <v>5</v>
      </c>
      <c r="B457" s="16">
        <v>6113010312</v>
      </c>
      <c r="C457" s="7">
        <v>103.12</v>
      </c>
      <c r="D457" s="12" t="s">
        <v>60</v>
      </c>
      <c r="E457" s="13">
        <v>79</v>
      </c>
      <c r="F457" s="13">
        <f>34+4</f>
        <v>38</v>
      </c>
      <c r="G457" s="13">
        <f>3+142+4+12</f>
        <v>161</v>
      </c>
      <c r="H457" s="123" t="s">
        <v>131</v>
      </c>
    </row>
    <row r="458" spans="1:8" x14ac:dyDescent="0.25">
      <c r="A458" s="16" t="s">
        <v>5</v>
      </c>
      <c r="B458" s="16">
        <v>6113010401</v>
      </c>
      <c r="C458" s="7">
        <v>104.01</v>
      </c>
      <c r="D458" s="12" t="s">
        <v>61</v>
      </c>
      <c r="E458" s="13">
        <v>466</v>
      </c>
      <c r="F458" s="13">
        <f>7+161+16</f>
        <v>184</v>
      </c>
      <c r="G458" s="13">
        <f>42+222+16+67</f>
        <v>347</v>
      </c>
      <c r="H458" s="123" t="s">
        <v>117</v>
      </c>
    </row>
    <row r="459" spans="1:8" x14ac:dyDescent="0.25">
      <c r="A459" s="16" t="s">
        <v>5</v>
      </c>
      <c r="B459" s="16">
        <v>6113010402</v>
      </c>
      <c r="C459" s="7">
        <v>104.02</v>
      </c>
      <c r="D459" s="12" t="s">
        <v>60</v>
      </c>
      <c r="E459" s="13">
        <v>17</v>
      </c>
      <c r="F459" s="13">
        <f>12+32</f>
        <v>44</v>
      </c>
      <c r="G459" s="13">
        <f>4+2+4</f>
        <v>10</v>
      </c>
      <c r="H459" s="123" t="s">
        <v>131</v>
      </c>
    </row>
    <row r="460" spans="1:8" x14ac:dyDescent="0.25">
      <c r="A460" s="16" t="s">
        <v>5</v>
      </c>
      <c r="B460" s="16">
        <v>6113010501</v>
      </c>
      <c r="C460" s="7">
        <v>105.01</v>
      </c>
      <c r="D460" s="12" t="s">
        <v>62</v>
      </c>
      <c r="E460" s="13">
        <v>68</v>
      </c>
      <c r="F460" s="13">
        <v>0</v>
      </c>
      <c r="G460" s="13">
        <f>22+3+0</f>
        <v>25</v>
      </c>
      <c r="H460" s="123" t="s">
        <v>136</v>
      </c>
    </row>
    <row r="461" spans="1:8" x14ac:dyDescent="0.25">
      <c r="A461" s="16" t="s">
        <v>5</v>
      </c>
      <c r="B461" s="16">
        <v>6113010505</v>
      </c>
      <c r="C461" s="7">
        <v>105.05</v>
      </c>
      <c r="D461" s="12" t="s">
        <v>63</v>
      </c>
      <c r="E461" s="13">
        <v>365</v>
      </c>
      <c r="F461" s="13">
        <f>242+2+6</f>
        <v>250</v>
      </c>
      <c r="G461" s="13">
        <f>10+245+7+86</f>
        <v>348</v>
      </c>
      <c r="H461" s="123" t="s">
        <v>134</v>
      </c>
    </row>
    <row r="462" spans="1:8" x14ac:dyDescent="0.25">
      <c r="A462" s="16" t="s">
        <v>5</v>
      </c>
      <c r="B462" s="16">
        <v>6113010508</v>
      </c>
      <c r="C462" s="7">
        <v>105.08</v>
      </c>
      <c r="D462" s="12" t="s">
        <v>62</v>
      </c>
      <c r="E462" s="13">
        <v>38</v>
      </c>
      <c r="F462" s="13">
        <f>3</f>
        <v>3</v>
      </c>
      <c r="G462" s="13">
        <f>23+19+9+31</f>
        <v>82</v>
      </c>
      <c r="H462" s="123" t="s">
        <v>136</v>
      </c>
    </row>
    <row r="463" spans="1:8" x14ac:dyDescent="0.25">
      <c r="A463" s="16" t="s">
        <v>5</v>
      </c>
      <c r="B463" s="16">
        <v>6113010509</v>
      </c>
      <c r="C463" s="7">
        <v>105.09</v>
      </c>
      <c r="D463" s="12" t="s">
        <v>62</v>
      </c>
      <c r="E463" s="13">
        <v>10</v>
      </c>
      <c r="F463" s="13">
        <v>7</v>
      </c>
      <c r="G463" s="13">
        <v>22</v>
      </c>
      <c r="H463" s="123" t="s">
        <v>136</v>
      </c>
    </row>
    <row r="464" spans="1:8" x14ac:dyDescent="0.25">
      <c r="A464" s="16" t="s">
        <v>5</v>
      </c>
      <c r="B464" s="16">
        <v>6113010510</v>
      </c>
      <c r="C464" s="7">
        <v>105.1</v>
      </c>
      <c r="D464" s="12" t="s">
        <v>62</v>
      </c>
      <c r="E464" s="13">
        <v>220</v>
      </c>
      <c r="F464" s="13">
        <f>3+15</f>
        <v>18</v>
      </c>
      <c r="G464" s="13">
        <f>11+159+105+27</f>
        <v>302</v>
      </c>
      <c r="H464" s="123" t="s">
        <v>136</v>
      </c>
    </row>
    <row r="465" spans="1:8" x14ac:dyDescent="0.25">
      <c r="A465" s="16" t="s">
        <v>5</v>
      </c>
      <c r="B465" s="16">
        <v>6113010511</v>
      </c>
      <c r="C465" s="7">
        <v>105.11</v>
      </c>
      <c r="D465" s="12" t="s">
        <v>62</v>
      </c>
      <c r="E465" s="13">
        <v>51</v>
      </c>
      <c r="F465" s="13">
        <f>21+5+0</f>
        <v>26</v>
      </c>
      <c r="G465" s="13">
        <f>11+4+11</f>
        <v>26</v>
      </c>
      <c r="H465" s="123" t="s">
        <v>136</v>
      </c>
    </row>
    <row r="466" spans="1:8" x14ac:dyDescent="0.25">
      <c r="A466" s="16" t="s">
        <v>5</v>
      </c>
      <c r="B466" s="16">
        <v>6113010512</v>
      </c>
      <c r="C466" s="7">
        <v>105.12</v>
      </c>
      <c r="D466" s="12" t="s">
        <v>62</v>
      </c>
      <c r="E466" s="13">
        <v>133</v>
      </c>
      <c r="F466" s="13">
        <f>5</f>
        <v>5</v>
      </c>
      <c r="G466" s="13">
        <f>8+88</f>
        <v>96</v>
      </c>
      <c r="H466" s="123" t="s">
        <v>136</v>
      </c>
    </row>
    <row r="467" spans="1:8" x14ac:dyDescent="0.25">
      <c r="A467" s="16" t="s">
        <v>5</v>
      </c>
      <c r="B467" s="16">
        <v>6113010513</v>
      </c>
      <c r="C467" s="7">
        <v>105.13</v>
      </c>
      <c r="D467" s="12" t="s">
        <v>62</v>
      </c>
      <c r="E467" s="13">
        <v>39</v>
      </c>
      <c r="F467" s="13">
        <f>7+23</f>
        <v>30</v>
      </c>
      <c r="G467" s="13">
        <f>9+12+7+19</f>
        <v>47</v>
      </c>
      <c r="H467" s="123" t="s">
        <v>136</v>
      </c>
    </row>
    <row r="468" spans="1:8" x14ac:dyDescent="0.25">
      <c r="A468" s="16" t="s">
        <v>5</v>
      </c>
      <c r="B468" s="16">
        <v>6113010602</v>
      </c>
      <c r="C468" s="7">
        <v>106.02</v>
      </c>
      <c r="D468" s="12" t="s">
        <v>62</v>
      </c>
      <c r="E468" s="13">
        <v>224</v>
      </c>
      <c r="F468" s="13">
        <f>53+4+0</f>
        <v>57</v>
      </c>
      <c r="G468" s="13">
        <f>15+144+41+83</f>
        <v>283</v>
      </c>
      <c r="H468" s="123" t="s">
        <v>136</v>
      </c>
    </row>
    <row r="469" spans="1:8" x14ac:dyDescent="0.25">
      <c r="A469" s="16" t="s">
        <v>5</v>
      </c>
      <c r="B469" s="16">
        <v>6113010605</v>
      </c>
      <c r="C469" s="7">
        <v>106.05</v>
      </c>
      <c r="D469" s="12" t="s">
        <v>62</v>
      </c>
      <c r="E469" s="13">
        <v>163</v>
      </c>
      <c r="F469" s="13">
        <f>36+319+2</f>
        <v>357</v>
      </c>
      <c r="G469" s="13">
        <f>21+175+4+43</f>
        <v>243</v>
      </c>
      <c r="H469" s="123" t="s">
        <v>136</v>
      </c>
    </row>
    <row r="470" spans="1:8" x14ac:dyDescent="0.25">
      <c r="A470" s="16" t="s">
        <v>5</v>
      </c>
      <c r="B470" s="16">
        <v>6113010606</v>
      </c>
      <c r="C470" s="7">
        <v>106.06</v>
      </c>
      <c r="D470" s="12" t="s">
        <v>62</v>
      </c>
      <c r="E470" s="13">
        <v>206</v>
      </c>
      <c r="F470" s="13">
        <f>26+85+0</f>
        <v>111</v>
      </c>
      <c r="G470" s="13">
        <f>51+46+65+52</f>
        <v>214</v>
      </c>
      <c r="H470" s="123" t="s">
        <v>136</v>
      </c>
    </row>
    <row r="471" spans="1:8" x14ac:dyDescent="0.25">
      <c r="A471" s="16" t="s">
        <v>5</v>
      </c>
      <c r="B471" s="16">
        <v>6113010607</v>
      </c>
      <c r="C471" s="7">
        <v>106.07</v>
      </c>
      <c r="D471" s="12" t="s">
        <v>62</v>
      </c>
      <c r="E471" s="13">
        <v>117</v>
      </c>
      <c r="F471" s="13">
        <f>8+11+0</f>
        <v>19</v>
      </c>
      <c r="G471" s="13">
        <f>0+238+5+11</f>
        <v>254</v>
      </c>
      <c r="H471" s="123" t="s">
        <v>136</v>
      </c>
    </row>
    <row r="472" spans="1:8" x14ac:dyDescent="0.25">
      <c r="A472" s="16" t="s">
        <v>5</v>
      </c>
      <c r="B472" s="16">
        <v>6113010608</v>
      </c>
      <c r="C472" s="7">
        <v>106.08</v>
      </c>
      <c r="D472" s="12" t="s">
        <v>62</v>
      </c>
      <c r="E472" s="13">
        <v>345</v>
      </c>
      <c r="F472" s="13">
        <f>5+38+0</f>
        <v>43</v>
      </c>
      <c r="G472" s="13">
        <f>25+124+17+37</f>
        <v>203</v>
      </c>
      <c r="H472" s="123" t="s">
        <v>136</v>
      </c>
    </row>
    <row r="473" spans="1:8" x14ac:dyDescent="0.25">
      <c r="A473" s="16" t="s">
        <v>5</v>
      </c>
      <c r="B473" s="16">
        <v>6113010701</v>
      </c>
      <c r="C473" s="7">
        <v>107.01</v>
      </c>
      <c r="D473" s="12" t="s">
        <v>62</v>
      </c>
      <c r="E473" s="13">
        <v>804</v>
      </c>
      <c r="F473" s="13">
        <f>42+13+2</f>
        <v>57</v>
      </c>
      <c r="G473" s="13">
        <f>4+387+120+154</f>
        <v>665</v>
      </c>
      <c r="H473" s="123" t="s">
        <v>133</v>
      </c>
    </row>
    <row r="474" spans="1:8" x14ac:dyDescent="0.25">
      <c r="A474" s="16" t="s">
        <v>5</v>
      </c>
      <c r="B474" s="16">
        <v>6113010703</v>
      </c>
      <c r="C474" s="7">
        <v>107.03</v>
      </c>
      <c r="D474" s="12" t="s">
        <v>62</v>
      </c>
      <c r="E474" s="13">
        <v>131</v>
      </c>
      <c r="F474" s="13">
        <f>1+5</f>
        <v>6</v>
      </c>
      <c r="G474" s="13">
        <f>14+83+3+18</f>
        <v>118</v>
      </c>
      <c r="H474" s="123" t="s">
        <v>136</v>
      </c>
    </row>
    <row r="475" spans="1:8" x14ac:dyDescent="0.25">
      <c r="A475" s="16" t="s">
        <v>5</v>
      </c>
      <c r="B475" s="16">
        <v>6113010704</v>
      </c>
      <c r="C475" s="7">
        <v>107.04</v>
      </c>
      <c r="D475" s="12" t="s">
        <v>62</v>
      </c>
      <c r="E475" s="13">
        <v>67</v>
      </c>
      <c r="F475" s="13">
        <v>6</v>
      </c>
      <c r="G475" s="13">
        <f>71+6+9</f>
        <v>86</v>
      </c>
      <c r="H475" s="123" t="s">
        <v>136</v>
      </c>
    </row>
    <row r="476" spans="1:8" s="2" customFormat="1" x14ac:dyDescent="0.25">
      <c r="A476" s="16" t="s">
        <v>5</v>
      </c>
      <c r="B476" s="16">
        <v>6113010800</v>
      </c>
      <c r="C476" s="7">
        <v>108</v>
      </c>
      <c r="D476" s="12" t="s">
        <v>63</v>
      </c>
      <c r="E476" s="13">
        <v>615</v>
      </c>
      <c r="F476" s="13">
        <f>289+707+225</f>
        <v>1221</v>
      </c>
      <c r="G476" s="13">
        <f>79+73+268</f>
        <v>420</v>
      </c>
      <c r="H476" s="123" t="s">
        <v>135</v>
      </c>
    </row>
    <row r="477" spans="1:8" x14ac:dyDescent="0.25">
      <c r="A477" s="16" t="s">
        <v>5</v>
      </c>
      <c r="B477" s="16">
        <v>6113010901</v>
      </c>
      <c r="C477" s="7">
        <v>109.01</v>
      </c>
      <c r="D477" s="12" t="s">
        <v>63</v>
      </c>
      <c r="E477" s="13">
        <v>283</v>
      </c>
      <c r="F477" s="13">
        <f>78+11+3</f>
        <v>92</v>
      </c>
      <c r="G477" s="13">
        <f>31+18+21+16</f>
        <v>86</v>
      </c>
      <c r="H477" s="123" t="s">
        <v>134</v>
      </c>
    </row>
    <row r="478" spans="1:8" x14ac:dyDescent="0.25">
      <c r="A478" s="16" t="s">
        <v>5</v>
      </c>
      <c r="B478" s="16">
        <v>6113010902</v>
      </c>
      <c r="C478" s="7">
        <v>109.02</v>
      </c>
      <c r="D478" s="12" t="s">
        <v>63</v>
      </c>
      <c r="E478" s="13">
        <v>709</v>
      </c>
      <c r="F478" s="13">
        <f>188+8</f>
        <v>196</v>
      </c>
      <c r="G478" s="13">
        <f>2+511+36+47</f>
        <v>596</v>
      </c>
      <c r="H478" s="123" t="s">
        <v>134</v>
      </c>
    </row>
    <row r="479" spans="1:8" x14ac:dyDescent="0.25">
      <c r="A479" s="16" t="s">
        <v>5</v>
      </c>
      <c r="B479" s="16">
        <v>6113011001</v>
      </c>
      <c r="C479" s="7">
        <v>110.01</v>
      </c>
      <c r="D479" s="12" t="s">
        <v>63</v>
      </c>
      <c r="E479" s="13">
        <v>433</v>
      </c>
      <c r="F479" s="13">
        <f>14+19+0</f>
        <v>33</v>
      </c>
      <c r="G479" s="13">
        <f>34+338+20+40</f>
        <v>432</v>
      </c>
      <c r="H479" s="123" t="s">
        <v>134</v>
      </c>
    </row>
    <row r="480" spans="1:8" x14ac:dyDescent="0.25">
      <c r="A480" s="16" t="s">
        <v>5</v>
      </c>
      <c r="B480" s="16">
        <v>6113011002</v>
      </c>
      <c r="C480" s="7">
        <v>110.02</v>
      </c>
      <c r="D480" s="12" t="s">
        <v>63</v>
      </c>
      <c r="E480" s="13">
        <v>380</v>
      </c>
      <c r="F480" s="13">
        <v>43</v>
      </c>
      <c r="G480" s="13">
        <f>46+13</f>
        <v>59</v>
      </c>
      <c r="H480" s="123" t="s">
        <v>134</v>
      </c>
    </row>
    <row r="481" spans="1:8" x14ac:dyDescent="0.25">
      <c r="A481" s="16" t="s">
        <v>5</v>
      </c>
      <c r="B481" s="16">
        <v>6113011101</v>
      </c>
      <c r="C481" s="7">
        <v>111.01</v>
      </c>
      <c r="D481" s="12" t="s">
        <v>63</v>
      </c>
      <c r="E481" s="13">
        <v>346</v>
      </c>
      <c r="F481" s="13">
        <f>96+11+35</f>
        <v>142</v>
      </c>
      <c r="G481" s="13">
        <f>1+52+22+25</f>
        <v>100</v>
      </c>
      <c r="H481" s="123" t="s">
        <v>134</v>
      </c>
    </row>
    <row r="482" spans="1:8" x14ac:dyDescent="0.25">
      <c r="A482" s="16" t="s">
        <v>5</v>
      </c>
      <c r="B482" s="16">
        <v>6113011102</v>
      </c>
      <c r="C482" s="7">
        <v>111.02</v>
      </c>
      <c r="D482" s="12" t="s">
        <v>63</v>
      </c>
      <c r="E482" s="13">
        <v>102</v>
      </c>
      <c r="F482" s="13">
        <f>20+7</f>
        <v>27</v>
      </c>
      <c r="G482" s="13">
        <f>181+7+16</f>
        <v>204</v>
      </c>
      <c r="H482" s="123" t="s">
        <v>134</v>
      </c>
    </row>
    <row r="483" spans="1:8" x14ac:dyDescent="0.25">
      <c r="A483" s="16" t="s">
        <v>5</v>
      </c>
      <c r="B483" s="16">
        <v>6113011103</v>
      </c>
      <c r="C483" s="7">
        <v>111.03</v>
      </c>
      <c r="D483" s="12" t="s">
        <v>63</v>
      </c>
      <c r="E483" s="13">
        <v>71</v>
      </c>
      <c r="F483" s="13">
        <v>0</v>
      </c>
      <c r="G483" s="13">
        <f>3+1+30</f>
        <v>34</v>
      </c>
      <c r="H483" s="123" t="s">
        <v>134</v>
      </c>
    </row>
    <row r="484" spans="1:8" x14ac:dyDescent="0.25">
      <c r="A484" s="16" t="s">
        <v>5</v>
      </c>
      <c r="B484" s="16">
        <v>6113011203</v>
      </c>
      <c r="C484" s="7">
        <v>112.03</v>
      </c>
      <c r="D484" s="12" t="s">
        <v>63</v>
      </c>
      <c r="E484" s="13">
        <v>28</v>
      </c>
      <c r="F484" s="13">
        <f>28+7</f>
        <v>35</v>
      </c>
      <c r="G484" s="13">
        <f>1+0</f>
        <v>1</v>
      </c>
      <c r="H484" s="123" t="s">
        <v>134</v>
      </c>
    </row>
    <row r="485" spans="1:8" x14ac:dyDescent="0.25">
      <c r="A485" s="16" t="s">
        <v>5</v>
      </c>
      <c r="B485" s="16">
        <v>6113011204</v>
      </c>
      <c r="C485" s="7">
        <v>112.04</v>
      </c>
      <c r="D485" s="12" t="s">
        <v>63</v>
      </c>
      <c r="E485" s="13">
        <v>151</v>
      </c>
      <c r="F485" s="13">
        <f>23+1+20</f>
        <v>44</v>
      </c>
      <c r="G485" s="13">
        <f>143+0+30</f>
        <v>173</v>
      </c>
      <c r="H485" s="123" t="s">
        <v>134</v>
      </c>
    </row>
    <row r="486" spans="1:8" x14ac:dyDescent="0.25">
      <c r="A486" s="16" t="s">
        <v>5</v>
      </c>
      <c r="B486" s="16">
        <v>6113011205</v>
      </c>
      <c r="C486" s="7">
        <v>112.05</v>
      </c>
      <c r="D486" s="12" t="s">
        <v>63</v>
      </c>
      <c r="E486" s="13">
        <v>473</v>
      </c>
      <c r="F486" s="13">
        <f>68+54+21</f>
        <v>143</v>
      </c>
      <c r="G486" s="13">
        <f>126+528+16+15</f>
        <v>685</v>
      </c>
      <c r="H486" s="123" t="s">
        <v>134</v>
      </c>
    </row>
    <row r="487" spans="1:8" x14ac:dyDescent="0.25">
      <c r="A487" s="16" t="s">
        <v>5</v>
      </c>
      <c r="B487" s="16">
        <v>6113011206</v>
      </c>
      <c r="C487" s="7">
        <v>112.06</v>
      </c>
      <c r="D487" s="12" t="s">
        <v>63</v>
      </c>
      <c r="E487" s="13">
        <v>2048</v>
      </c>
      <c r="F487" s="13">
        <f>27+204+1513+2335</f>
        <v>4079</v>
      </c>
      <c r="G487" s="13">
        <f>582+419+32+87</f>
        <v>1120</v>
      </c>
      <c r="H487" s="123" t="s">
        <v>134</v>
      </c>
    </row>
    <row r="488" spans="1:8" s="2" customFormat="1" x14ac:dyDescent="0.25">
      <c r="A488" s="16" t="s">
        <v>5</v>
      </c>
      <c r="B488" s="16">
        <v>6113011300</v>
      </c>
      <c r="C488" s="7">
        <v>113</v>
      </c>
      <c r="D488" s="12" t="s">
        <v>64</v>
      </c>
      <c r="E488" s="13">
        <v>216</v>
      </c>
      <c r="F488" s="13">
        <f>86+95+166</f>
        <v>347</v>
      </c>
      <c r="G488" s="13">
        <f>48+116</f>
        <v>164</v>
      </c>
      <c r="H488" s="123" t="s">
        <v>137</v>
      </c>
    </row>
    <row r="489" spans="1:8" s="2" customFormat="1" x14ac:dyDescent="0.25">
      <c r="A489" s="16" t="s">
        <v>5</v>
      </c>
      <c r="B489" s="16">
        <v>6113011400</v>
      </c>
      <c r="C489" s="7">
        <v>114</v>
      </c>
      <c r="D489" s="12" t="s">
        <v>65</v>
      </c>
      <c r="E489" s="13">
        <v>514</v>
      </c>
      <c r="F489" s="13">
        <f>39+24+40+62</f>
        <v>165</v>
      </c>
      <c r="G489" s="13">
        <v>31</v>
      </c>
      <c r="H489" s="123" t="s">
        <v>88</v>
      </c>
    </row>
    <row r="490" spans="1:8" s="2" customFormat="1" x14ac:dyDescent="0.25">
      <c r="A490" s="16" t="s">
        <v>5</v>
      </c>
      <c r="B490" s="16">
        <v>6113011500</v>
      </c>
      <c r="C490" s="7">
        <v>115</v>
      </c>
      <c r="D490" s="12" t="s">
        <v>66</v>
      </c>
      <c r="E490" s="13">
        <v>359</v>
      </c>
      <c r="F490" s="13">
        <v>60</v>
      </c>
      <c r="G490" s="13">
        <v>89</v>
      </c>
      <c r="H490" s="123" t="s">
        <v>136</v>
      </c>
    </row>
    <row r="491" spans="1:8" x14ac:dyDescent="0.25">
      <c r="A491" s="16" t="s">
        <v>67</v>
      </c>
      <c r="B491" s="18">
        <v>6095252801</v>
      </c>
      <c r="C491" s="7">
        <v>2528.0100000000002</v>
      </c>
      <c r="D491" s="12" t="s">
        <v>68</v>
      </c>
      <c r="E491" s="13">
        <v>24</v>
      </c>
      <c r="F491" s="13">
        <v>0</v>
      </c>
      <c r="G491" s="13">
        <v>1</v>
      </c>
      <c r="H491" s="123" t="s">
        <v>118</v>
      </c>
    </row>
    <row r="492" spans="1:8" x14ac:dyDescent="0.25">
      <c r="A492" s="16" t="s">
        <v>67</v>
      </c>
      <c r="B492" s="18">
        <v>6095252802</v>
      </c>
      <c r="C492" s="7">
        <v>2528.02</v>
      </c>
      <c r="D492" s="12" t="s">
        <v>68</v>
      </c>
      <c r="E492" s="13">
        <v>225</v>
      </c>
      <c r="F492" s="13">
        <f>224+33+36</f>
        <v>293</v>
      </c>
      <c r="G492" s="13">
        <f>15+21</f>
        <v>36</v>
      </c>
      <c r="H492" s="123" t="s">
        <v>118</v>
      </c>
    </row>
    <row r="493" spans="1:8" x14ac:dyDescent="0.25">
      <c r="A493" s="16" t="s">
        <v>67</v>
      </c>
      <c r="B493" s="18">
        <v>6095252903</v>
      </c>
      <c r="C493" s="7">
        <v>2529.0300000000002</v>
      </c>
      <c r="D493" s="12" t="s">
        <v>69</v>
      </c>
      <c r="E493" s="13">
        <v>163</v>
      </c>
      <c r="F493" s="13">
        <f>299+3+29</f>
        <v>331</v>
      </c>
      <c r="G493" s="13">
        <f>24+10+10</f>
        <v>44</v>
      </c>
      <c r="H493" s="123" t="s">
        <v>101</v>
      </c>
    </row>
    <row r="494" spans="1:8" x14ac:dyDescent="0.25">
      <c r="A494" s="16" t="s">
        <v>67</v>
      </c>
      <c r="B494" s="18">
        <v>6095252904</v>
      </c>
      <c r="C494" s="7">
        <v>2529.04</v>
      </c>
      <c r="D494" s="12" t="s">
        <v>69</v>
      </c>
      <c r="E494" s="13">
        <v>2080</v>
      </c>
      <c r="F494" s="13">
        <f>876+2111+335</f>
        <v>3322</v>
      </c>
      <c r="G494" s="13">
        <f>354+378+50+31</f>
        <v>813</v>
      </c>
      <c r="H494" s="123" t="s">
        <v>138</v>
      </c>
    </row>
    <row r="495" spans="1:8" x14ac:dyDescent="0.25">
      <c r="A495" s="16" t="s">
        <v>67</v>
      </c>
      <c r="B495" s="18">
        <v>6095252908</v>
      </c>
      <c r="C495" s="7">
        <v>2529.08</v>
      </c>
      <c r="D495" s="12" t="s">
        <v>69</v>
      </c>
      <c r="E495" s="13">
        <v>57</v>
      </c>
      <c r="F495" s="13">
        <v>0</v>
      </c>
      <c r="G495" s="13">
        <f>88+2+18</f>
        <v>108</v>
      </c>
      <c r="H495" s="123" t="s">
        <v>101</v>
      </c>
    </row>
    <row r="496" spans="1:8" x14ac:dyDescent="0.25">
      <c r="A496" s="16" t="s">
        <v>67</v>
      </c>
      <c r="B496" s="18">
        <v>6095252909</v>
      </c>
      <c r="C496" s="7">
        <v>2529.09</v>
      </c>
      <c r="D496" s="12" t="s">
        <v>69</v>
      </c>
      <c r="E496" s="13">
        <v>34</v>
      </c>
      <c r="F496" s="13">
        <f>15</f>
        <v>15</v>
      </c>
      <c r="G496" s="13">
        <f>0+72+2+11</f>
        <v>85</v>
      </c>
      <c r="H496" s="123" t="s">
        <v>101</v>
      </c>
    </row>
    <row r="497" spans="1:8" x14ac:dyDescent="0.25">
      <c r="A497" s="16" t="s">
        <v>67</v>
      </c>
      <c r="B497" s="18">
        <v>6095252910</v>
      </c>
      <c r="C497" s="7">
        <v>2529.1</v>
      </c>
      <c r="D497" s="12" t="s">
        <v>69</v>
      </c>
      <c r="E497" s="13">
        <v>19</v>
      </c>
      <c r="F497" s="13">
        <f>13</f>
        <v>13</v>
      </c>
      <c r="G497" s="13">
        <f>1+17+3+2</f>
        <v>23</v>
      </c>
      <c r="H497" s="123" t="s">
        <v>101</v>
      </c>
    </row>
    <row r="498" spans="1:8" x14ac:dyDescent="0.25">
      <c r="A498" s="16" t="s">
        <v>67</v>
      </c>
      <c r="B498" s="18">
        <v>6095252911</v>
      </c>
      <c r="C498" s="7">
        <v>2529.11</v>
      </c>
      <c r="D498" s="12" t="s">
        <v>69</v>
      </c>
      <c r="E498" s="13">
        <v>1174</v>
      </c>
      <c r="F498" s="13">
        <f>56+3+36</f>
        <v>95</v>
      </c>
      <c r="G498" s="13">
        <f>20+2247+55+118</f>
        <v>2440</v>
      </c>
      <c r="H498" s="123" t="s">
        <v>139</v>
      </c>
    </row>
    <row r="499" spans="1:8" x14ac:dyDescent="0.25">
      <c r="A499" s="16" t="s">
        <v>67</v>
      </c>
      <c r="B499" s="18">
        <v>6095252912</v>
      </c>
      <c r="C499" s="7">
        <v>2529.12</v>
      </c>
      <c r="D499" s="12" t="s">
        <v>69</v>
      </c>
      <c r="E499" s="13">
        <v>134</v>
      </c>
      <c r="F499" s="13">
        <f>93+30+23</f>
        <v>146</v>
      </c>
      <c r="G499" s="13">
        <f>22+52+9+114</f>
        <v>197</v>
      </c>
      <c r="H499" s="123" t="s">
        <v>101</v>
      </c>
    </row>
    <row r="500" spans="1:8" x14ac:dyDescent="0.25">
      <c r="A500" s="16" t="s">
        <v>67</v>
      </c>
      <c r="B500" s="18">
        <v>6095252913</v>
      </c>
      <c r="C500" s="7">
        <v>2529.13</v>
      </c>
      <c r="D500" s="12" t="s">
        <v>69</v>
      </c>
      <c r="E500" s="13">
        <v>23</v>
      </c>
      <c r="F500" s="13">
        <f>23+2</f>
        <v>25</v>
      </c>
      <c r="G500" s="13">
        <f>40+14</f>
        <v>54</v>
      </c>
      <c r="H500" s="123" t="s">
        <v>101</v>
      </c>
    </row>
    <row r="501" spans="1:8" x14ac:dyDescent="0.25">
      <c r="A501" s="16" t="s">
        <v>67</v>
      </c>
      <c r="B501" s="18">
        <v>6095252914</v>
      </c>
      <c r="C501" s="7">
        <v>2529.14</v>
      </c>
      <c r="D501" s="12" t="s">
        <v>69</v>
      </c>
      <c r="E501" s="13">
        <v>20</v>
      </c>
      <c r="F501" s="13">
        <f>18+15</f>
        <v>33</v>
      </c>
      <c r="G501" s="13">
        <f>36+9+4</f>
        <v>49</v>
      </c>
      <c r="H501" s="123" t="s">
        <v>101</v>
      </c>
    </row>
    <row r="502" spans="1:8" x14ac:dyDescent="0.25">
      <c r="A502" s="16" t="s">
        <v>67</v>
      </c>
      <c r="B502" s="18">
        <v>6095252915</v>
      </c>
      <c r="C502" s="7">
        <v>2529.15</v>
      </c>
      <c r="D502" s="12" t="s">
        <v>69</v>
      </c>
      <c r="E502" s="13">
        <v>7</v>
      </c>
      <c r="F502" s="13">
        <v>7</v>
      </c>
      <c r="G502" s="13">
        <f>7+64+8</f>
        <v>79</v>
      </c>
      <c r="H502" s="123" t="s">
        <v>101</v>
      </c>
    </row>
    <row r="503" spans="1:8" x14ac:dyDescent="0.25">
      <c r="A503" s="16" t="s">
        <v>67</v>
      </c>
      <c r="B503" s="18">
        <v>6095253000</v>
      </c>
      <c r="C503" s="7">
        <v>2530</v>
      </c>
      <c r="D503" s="12" t="s">
        <v>69</v>
      </c>
      <c r="E503" s="13">
        <v>284</v>
      </c>
      <c r="F503" s="13">
        <v>0</v>
      </c>
      <c r="G503" s="13">
        <v>18</v>
      </c>
      <c r="H503" s="123" t="s">
        <v>101</v>
      </c>
    </row>
    <row r="504" spans="1:8" x14ac:dyDescent="0.25">
      <c r="A504" s="16" t="s">
        <v>67</v>
      </c>
      <c r="B504" s="18">
        <v>6095253101</v>
      </c>
      <c r="C504" s="7">
        <v>2531.0100000000002</v>
      </c>
      <c r="D504" s="12" t="s">
        <v>69</v>
      </c>
      <c r="E504" s="13">
        <v>520</v>
      </c>
      <c r="F504" s="13">
        <f>86+8+25</f>
        <v>119</v>
      </c>
      <c r="G504" s="13">
        <f>95+403+113+160</f>
        <v>771</v>
      </c>
      <c r="H504" s="123" t="s">
        <v>101</v>
      </c>
    </row>
    <row r="505" spans="1:8" x14ac:dyDescent="0.25">
      <c r="A505" s="16" t="s">
        <v>67</v>
      </c>
      <c r="B505" s="18">
        <v>6095253105</v>
      </c>
      <c r="C505" s="7">
        <v>2531.0500000000002</v>
      </c>
      <c r="D505" s="12" t="s">
        <v>69</v>
      </c>
      <c r="E505" s="13">
        <v>348</v>
      </c>
      <c r="F505" s="13">
        <f>11+45</f>
        <v>56</v>
      </c>
      <c r="G505" s="13">
        <f>5+584+14+107</f>
        <v>710</v>
      </c>
      <c r="H505" s="123" t="s">
        <v>101</v>
      </c>
    </row>
    <row r="506" spans="1:8" x14ac:dyDescent="0.25">
      <c r="A506" s="16" t="s">
        <v>67</v>
      </c>
      <c r="B506" s="18">
        <v>6095253106</v>
      </c>
      <c r="C506" s="7">
        <v>2531.06</v>
      </c>
      <c r="D506" s="12" t="s">
        <v>69</v>
      </c>
      <c r="E506" s="13">
        <v>39</v>
      </c>
      <c r="F506" s="13">
        <f>4+5+0</f>
        <v>9</v>
      </c>
      <c r="G506" s="13">
        <f>83+4+15</f>
        <v>102</v>
      </c>
      <c r="H506" s="123" t="s">
        <v>101</v>
      </c>
    </row>
    <row r="507" spans="1:8" x14ac:dyDescent="0.25">
      <c r="A507" s="16" t="s">
        <v>67</v>
      </c>
      <c r="B507" s="18">
        <v>6095253107</v>
      </c>
      <c r="C507" s="7">
        <v>2531.0700000000002</v>
      </c>
      <c r="D507" s="12" t="s">
        <v>69</v>
      </c>
      <c r="E507" s="13">
        <v>288</v>
      </c>
      <c r="F507" s="13">
        <f>163+49+0</f>
        <v>212</v>
      </c>
      <c r="G507" s="13">
        <f>375+19+49</f>
        <v>443</v>
      </c>
      <c r="H507" s="123" t="s">
        <v>101</v>
      </c>
    </row>
    <row r="508" spans="1:8" x14ac:dyDescent="0.25">
      <c r="A508" s="16" t="s">
        <v>67</v>
      </c>
      <c r="B508" s="18">
        <v>6095253108</v>
      </c>
      <c r="C508" s="7">
        <v>2531.08</v>
      </c>
      <c r="D508" s="12" t="s">
        <v>69</v>
      </c>
      <c r="E508" s="13">
        <v>137</v>
      </c>
      <c r="F508" s="13">
        <f>23+13+22</f>
        <v>58</v>
      </c>
      <c r="G508" s="13">
        <f>17+107+24+7</f>
        <v>155</v>
      </c>
      <c r="H508" s="123" t="s">
        <v>101</v>
      </c>
    </row>
    <row r="509" spans="1:8" x14ac:dyDescent="0.25">
      <c r="A509" s="16" t="s">
        <v>67</v>
      </c>
      <c r="B509" s="18">
        <v>6095253201</v>
      </c>
      <c r="C509" s="7">
        <v>2532.0100000000002</v>
      </c>
      <c r="D509" s="12" t="s">
        <v>69</v>
      </c>
      <c r="E509" s="18">
        <v>13</v>
      </c>
      <c r="F509" s="18">
        <f>15</f>
        <v>15</v>
      </c>
      <c r="G509" s="18">
        <f>15+38</f>
        <v>53</v>
      </c>
      <c r="H509" s="123" t="s">
        <v>101</v>
      </c>
    </row>
    <row r="510" spans="1:8" x14ac:dyDescent="0.25">
      <c r="A510" s="16" t="s">
        <v>67</v>
      </c>
      <c r="B510" s="18">
        <v>6095253203</v>
      </c>
      <c r="C510" s="7">
        <v>2532.0300000000002</v>
      </c>
      <c r="D510" s="12" t="s">
        <v>69</v>
      </c>
      <c r="E510" s="18">
        <v>83</v>
      </c>
      <c r="F510" s="18">
        <f>11+14</f>
        <v>25</v>
      </c>
      <c r="G510" s="18">
        <f>21+7+43</f>
        <v>71</v>
      </c>
      <c r="H510" s="123" t="s">
        <v>101</v>
      </c>
    </row>
    <row r="511" spans="1:8" x14ac:dyDescent="0.25">
      <c r="A511" s="16" t="s">
        <v>67</v>
      </c>
      <c r="B511" s="18">
        <v>6095253204</v>
      </c>
      <c r="C511" s="17">
        <v>2532.04</v>
      </c>
      <c r="D511" s="12" t="s">
        <v>69</v>
      </c>
      <c r="E511" s="18">
        <v>101</v>
      </c>
      <c r="F511" s="18">
        <f>25+1+1</f>
        <v>27</v>
      </c>
      <c r="G511" s="18">
        <f>3+86+7+24</f>
        <v>120</v>
      </c>
      <c r="H511" s="123" t="s">
        <v>101</v>
      </c>
    </row>
    <row r="512" spans="1:8" x14ac:dyDescent="0.25">
      <c r="A512" s="16" t="s">
        <v>67</v>
      </c>
      <c r="B512" s="18">
        <v>6095253205</v>
      </c>
      <c r="C512" s="17">
        <v>2532.0500000000002</v>
      </c>
      <c r="D512" s="12" t="s">
        <v>69</v>
      </c>
      <c r="E512" s="18">
        <v>443</v>
      </c>
      <c r="F512" s="18">
        <f>227+4</f>
        <v>231</v>
      </c>
      <c r="G512" s="18">
        <f>494+3+57</f>
        <v>554</v>
      </c>
      <c r="H512" s="123" t="s">
        <v>101</v>
      </c>
    </row>
    <row r="513" spans="1:8" x14ac:dyDescent="0.25">
      <c r="A513" s="16" t="s">
        <v>67</v>
      </c>
      <c r="B513" s="18">
        <v>6095253206</v>
      </c>
      <c r="C513" s="17">
        <v>2532.06</v>
      </c>
      <c r="D513" s="12" t="s">
        <v>69</v>
      </c>
      <c r="E513" s="18">
        <v>175</v>
      </c>
      <c r="F513" s="18">
        <f>391+114+13</f>
        <v>518</v>
      </c>
      <c r="G513" s="18">
        <f>35+1+0</f>
        <v>36</v>
      </c>
      <c r="H513" s="123" t="s">
        <v>101</v>
      </c>
    </row>
    <row r="514" spans="1:8" x14ac:dyDescent="0.25">
      <c r="A514" s="6" t="s">
        <v>67</v>
      </c>
      <c r="B514" s="13">
        <v>6095253300</v>
      </c>
      <c r="C514" s="7">
        <v>2533</v>
      </c>
      <c r="D514" s="12" t="s">
        <v>61</v>
      </c>
      <c r="E514" s="13">
        <v>2141</v>
      </c>
      <c r="F514" s="13">
        <f>155+142+418</f>
        <v>715</v>
      </c>
      <c r="G514" s="13">
        <f>69+64+3+7</f>
        <v>143</v>
      </c>
      <c r="H514" s="123" t="s">
        <v>140</v>
      </c>
    </row>
    <row r="515" spans="1:8" x14ac:dyDescent="0.25">
      <c r="A515" s="6" t="s">
        <v>67</v>
      </c>
      <c r="B515" s="13">
        <v>6095253402</v>
      </c>
      <c r="C515" s="7">
        <v>2534.02</v>
      </c>
      <c r="D515" s="12" t="s">
        <v>61</v>
      </c>
      <c r="E515" s="13">
        <v>720</v>
      </c>
      <c r="F515" s="13">
        <f>5+210+455+178</f>
        <v>848</v>
      </c>
      <c r="G515" s="13">
        <f>814+783+21+73</f>
        <v>1691</v>
      </c>
      <c r="H515" s="123" t="s">
        <v>141</v>
      </c>
    </row>
    <row r="516" spans="1:8" x14ac:dyDescent="0.25">
      <c r="A516" s="6" t="s">
        <v>67</v>
      </c>
      <c r="B516" s="13">
        <v>6095253403</v>
      </c>
      <c r="C516" s="7">
        <v>2534.0300000000002</v>
      </c>
      <c r="D516" s="12" t="s">
        <v>61</v>
      </c>
      <c r="E516" s="13">
        <v>62</v>
      </c>
      <c r="F516" s="13">
        <f>9+25+6</f>
        <v>40</v>
      </c>
      <c r="G516" s="13">
        <f>3+33+2+2</f>
        <v>40</v>
      </c>
      <c r="H516" s="123" t="s">
        <v>141</v>
      </c>
    </row>
    <row r="517" spans="1:8" x14ac:dyDescent="0.25">
      <c r="A517" s="6" t="s">
        <v>67</v>
      </c>
      <c r="B517" s="13">
        <v>6095253404</v>
      </c>
      <c r="C517" s="7">
        <v>2534.04</v>
      </c>
      <c r="D517" s="12" t="s">
        <v>61</v>
      </c>
      <c r="E517" s="13">
        <v>271</v>
      </c>
      <c r="F517" s="13">
        <f>85+17+5</f>
        <v>107</v>
      </c>
      <c r="G517" s="13">
        <f>6+237+14+14</f>
        <v>271</v>
      </c>
      <c r="H517" s="123" t="s">
        <v>141</v>
      </c>
    </row>
    <row r="518" spans="1:8" x14ac:dyDescent="0.25">
      <c r="A518" s="6" t="s">
        <v>67</v>
      </c>
      <c r="B518" s="13">
        <v>6095253500</v>
      </c>
      <c r="C518" s="7">
        <v>2535</v>
      </c>
      <c r="D518" s="12" t="s">
        <v>70</v>
      </c>
      <c r="E518" s="13">
        <v>376</v>
      </c>
      <c r="F518" s="13">
        <f>108+355+123</f>
        <v>586</v>
      </c>
      <c r="G518" s="13">
        <f>46+189+9+118</f>
        <v>362</v>
      </c>
      <c r="H518" s="123" t="s">
        <v>142</v>
      </c>
    </row>
    <row r="519" spans="1:8" x14ac:dyDescent="0.25">
      <c r="A519" s="6" t="s">
        <v>67</v>
      </c>
      <c r="B519" s="13">
        <v>6095980000</v>
      </c>
      <c r="C519" s="7">
        <v>9800</v>
      </c>
      <c r="D519" s="12" t="s">
        <v>68</v>
      </c>
      <c r="E519" s="13">
        <v>29</v>
      </c>
      <c r="F519" s="13">
        <v>12</v>
      </c>
      <c r="G519" s="13">
        <v>7</v>
      </c>
      <c r="H519" s="123" t="s">
        <v>143</v>
      </c>
    </row>
    <row r="520" spans="1:8" x14ac:dyDescent="0.25">
      <c r="A520" s="119"/>
      <c r="B520" s="119"/>
      <c r="C520" s="120"/>
      <c r="D520" s="121"/>
    </row>
  </sheetData>
  <mergeCells count="1">
    <mergeCell ref="A1:H1"/>
  </mergeCells>
  <pageMargins left="0.7" right="0.7" top="0.75" bottom="0.75" header="0.3" footer="0.3"/>
  <pageSetup paperSize="5" fitToHeight="0" orientation="landscape" r:id="rId1"/>
  <headerFooter>
    <oddHeader>&amp;LSacramento Metro AQMD&amp;RRegional ZEV Readiness Project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1B74E-ED30-46A9-85E9-5B5717C9AC81}">
  <dimension ref="A1:I30"/>
  <sheetViews>
    <sheetView workbookViewId="0">
      <selection activeCell="I41" sqref="I41"/>
    </sheetView>
  </sheetViews>
  <sheetFormatPr defaultRowHeight="15" x14ac:dyDescent="0.25"/>
  <cols>
    <col min="1" max="1" width="2.42578125" style="29" customWidth="1"/>
    <col min="2" max="2" width="26.28515625" style="29" customWidth="1"/>
    <col min="3" max="3" width="19.28515625" style="29" customWidth="1"/>
    <col min="4" max="4" width="13.7109375" style="77" customWidth="1"/>
    <col min="5" max="9" width="16.7109375" style="29" customWidth="1"/>
    <col min="10" max="16384" width="9.140625" style="29"/>
  </cols>
  <sheetData>
    <row r="1" spans="1:9" ht="15.75" thickBot="1" x14ac:dyDescent="0.3">
      <c r="B1" s="32" t="s">
        <v>360</v>
      </c>
    </row>
    <row r="2" spans="1:9" ht="15.75" thickBot="1" x14ac:dyDescent="0.3">
      <c r="A2" s="33" t="s">
        <v>260</v>
      </c>
      <c r="B2" s="34"/>
      <c r="C2" s="35" t="s">
        <v>261</v>
      </c>
      <c r="D2" s="75" t="s">
        <v>262</v>
      </c>
      <c r="E2" s="36" t="s">
        <v>263</v>
      </c>
      <c r="F2" s="37"/>
      <c r="G2" s="37"/>
      <c r="H2" s="37"/>
      <c r="I2" s="38"/>
    </row>
    <row r="3" spans="1:9" ht="15.75" thickBot="1" x14ac:dyDescent="0.3">
      <c r="A3" s="39"/>
      <c r="B3" s="40"/>
      <c r="C3" s="41"/>
      <c r="D3" s="76"/>
      <c r="E3" s="42">
        <v>1</v>
      </c>
      <c r="F3" s="30">
        <v>2</v>
      </c>
      <c r="G3" s="30">
        <v>3</v>
      </c>
      <c r="H3" s="30">
        <v>4</v>
      </c>
      <c r="I3" s="30">
        <v>5</v>
      </c>
    </row>
    <row r="4" spans="1:9" x14ac:dyDescent="0.25">
      <c r="A4" s="43" t="s">
        <v>264</v>
      </c>
      <c r="B4" s="43"/>
      <c r="C4" s="43"/>
      <c r="D4" s="43"/>
      <c r="E4" s="43"/>
      <c r="F4" s="43"/>
      <c r="G4" s="43"/>
      <c r="H4" s="43"/>
      <c r="I4" s="43"/>
    </row>
    <row r="5" spans="1:9" ht="15.75" thickBot="1" x14ac:dyDescent="0.3">
      <c r="A5" s="44" t="s">
        <v>265</v>
      </c>
      <c r="B5" s="44"/>
      <c r="C5" s="44"/>
      <c r="D5" s="44"/>
      <c r="E5" s="44"/>
      <c r="F5" s="44"/>
      <c r="G5" s="44"/>
      <c r="H5" s="44"/>
      <c r="I5" s="44"/>
    </row>
    <row r="6" spans="1:9" ht="75.75" thickBot="1" x14ac:dyDescent="0.3">
      <c r="A6" s="45"/>
      <c r="B6" s="46" t="s">
        <v>266</v>
      </c>
      <c r="C6" s="47" t="s">
        <v>267</v>
      </c>
      <c r="D6" s="74" t="s">
        <v>357</v>
      </c>
      <c r="E6" s="31" t="s">
        <v>268</v>
      </c>
      <c r="F6" s="31" t="s">
        <v>269</v>
      </c>
      <c r="G6" s="31" t="s">
        <v>270</v>
      </c>
      <c r="H6" s="31" t="s">
        <v>271</v>
      </c>
      <c r="I6" s="31" t="s">
        <v>272</v>
      </c>
    </row>
    <row r="7" spans="1:9" ht="90.75" thickBot="1" x14ac:dyDescent="0.3">
      <c r="A7" s="45"/>
      <c r="B7" s="46" t="s">
        <v>273</v>
      </c>
      <c r="C7" s="47" t="s">
        <v>274</v>
      </c>
      <c r="D7" s="74" t="s">
        <v>357</v>
      </c>
      <c r="E7" s="31" t="s">
        <v>275</v>
      </c>
      <c r="F7" s="31" t="s">
        <v>276</v>
      </c>
      <c r="G7" s="31" t="s">
        <v>277</v>
      </c>
      <c r="H7" s="31" t="s">
        <v>278</v>
      </c>
      <c r="I7" s="31" t="s">
        <v>279</v>
      </c>
    </row>
    <row r="8" spans="1:9" ht="45.75" thickBot="1" x14ac:dyDescent="0.3">
      <c r="A8" s="45"/>
      <c r="B8" s="46" t="s">
        <v>280</v>
      </c>
      <c r="C8" s="47" t="s">
        <v>281</v>
      </c>
      <c r="D8" s="48" t="s">
        <v>282</v>
      </c>
      <c r="E8" s="49" t="s">
        <v>283</v>
      </c>
      <c r="F8" s="50"/>
      <c r="G8" s="50"/>
      <c r="H8" s="50"/>
      <c r="I8" s="51"/>
    </row>
    <row r="9" spans="1:9" ht="15.75" thickBot="1" x14ac:dyDescent="0.3">
      <c r="A9" s="45"/>
      <c r="B9" s="46" t="s">
        <v>284</v>
      </c>
      <c r="C9" s="31" t="s">
        <v>285</v>
      </c>
      <c r="D9" s="48" t="s">
        <v>282</v>
      </c>
      <c r="E9" s="49" t="s">
        <v>286</v>
      </c>
      <c r="F9" s="50"/>
      <c r="G9" s="50"/>
      <c r="H9" s="50"/>
      <c r="I9" s="51"/>
    </row>
    <row r="10" spans="1:9" ht="15.75" thickBot="1" x14ac:dyDescent="0.3">
      <c r="A10" s="52" t="s">
        <v>287</v>
      </c>
      <c r="B10" s="52"/>
      <c r="C10" s="52"/>
      <c r="D10" s="52"/>
      <c r="E10" s="52"/>
      <c r="F10" s="52"/>
      <c r="G10" s="52"/>
      <c r="H10" s="52"/>
      <c r="I10" s="52"/>
    </row>
    <row r="11" spans="1:9" ht="30.75" thickBot="1" x14ac:dyDescent="0.3">
      <c r="A11" s="45"/>
      <c r="B11" s="53" t="s">
        <v>288</v>
      </c>
      <c r="C11" s="31" t="s">
        <v>289</v>
      </c>
      <c r="D11" s="48" t="s">
        <v>282</v>
      </c>
      <c r="E11" s="54" t="s">
        <v>290</v>
      </c>
      <c r="F11" s="55"/>
      <c r="G11" s="55"/>
      <c r="H11" s="55"/>
      <c r="I11" s="56"/>
    </row>
    <row r="12" spans="1:9" ht="30.75" thickBot="1" x14ac:dyDescent="0.3">
      <c r="A12" s="45"/>
      <c r="B12" s="53" t="s">
        <v>291</v>
      </c>
      <c r="C12" s="31" t="s">
        <v>292</v>
      </c>
      <c r="D12" s="48" t="s">
        <v>282</v>
      </c>
      <c r="E12" s="49" t="s">
        <v>293</v>
      </c>
      <c r="F12" s="50"/>
      <c r="G12" s="50"/>
      <c r="H12" s="50"/>
      <c r="I12" s="57"/>
    </row>
    <row r="13" spans="1:9" ht="30.75" thickBot="1" x14ac:dyDescent="0.3">
      <c r="A13" s="45"/>
      <c r="B13" s="53" t="s">
        <v>294</v>
      </c>
      <c r="C13" s="31" t="s">
        <v>295</v>
      </c>
      <c r="D13" s="48" t="s">
        <v>282</v>
      </c>
      <c r="E13" s="49" t="s">
        <v>296</v>
      </c>
      <c r="F13" s="50"/>
      <c r="G13" s="50"/>
      <c r="H13" s="50"/>
      <c r="I13" s="51"/>
    </row>
    <row r="14" spans="1:9" ht="30.75" thickBot="1" x14ac:dyDescent="0.3">
      <c r="A14" s="45"/>
      <c r="B14" s="53" t="s">
        <v>297</v>
      </c>
      <c r="C14" s="31" t="s">
        <v>298</v>
      </c>
      <c r="D14" s="74" t="s">
        <v>357</v>
      </c>
      <c r="E14" s="31" t="s">
        <v>299</v>
      </c>
      <c r="F14" s="31" t="s">
        <v>300</v>
      </c>
      <c r="G14" s="31" t="s">
        <v>301</v>
      </c>
      <c r="H14" s="31" t="s">
        <v>302</v>
      </c>
      <c r="I14" s="31" t="s">
        <v>303</v>
      </c>
    </row>
    <row r="15" spans="1:9" ht="75.75" thickBot="1" x14ac:dyDescent="0.3">
      <c r="A15" s="45"/>
      <c r="B15" s="53" t="s">
        <v>304</v>
      </c>
      <c r="C15" s="31" t="s">
        <v>305</v>
      </c>
      <c r="D15" s="74" t="s">
        <v>357</v>
      </c>
      <c r="E15" s="31" t="s">
        <v>306</v>
      </c>
      <c r="F15" s="31" t="s">
        <v>307</v>
      </c>
      <c r="G15" s="31" t="s">
        <v>308</v>
      </c>
      <c r="H15" s="31" t="s">
        <v>309</v>
      </c>
      <c r="I15" s="31" t="s">
        <v>303</v>
      </c>
    </row>
    <row r="16" spans="1:9" ht="45.75" thickBot="1" x14ac:dyDescent="0.3">
      <c r="A16" s="45"/>
      <c r="B16" s="53" t="s">
        <v>310</v>
      </c>
      <c r="C16" s="31" t="s">
        <v>311</v>
      </c>
      <c r="D16" s="74" t="s">
        <v>357</v>
      </c>
      <c r="E16" s="31" t="s">
        <v>312</v>
      </c>
      <c r="F16" s="31" t="s">
        <v>313</v>
      </c>
      <c r="G16" s="31" t="s">
        <v>314</v>
      </c>
      <c r="H16" s="31" t="s">
        <v>315</v>
      </c>
      <c r="I16" s="31" t="s">
        <v>316</v>
      </c>
    </row>
    <row r="17" spans="1:9" ht="15.75" thickBot="1" x14ac:dyDescent="0.3">
      <c r="A17" s="58" t="s">
        <v>317</v>
      </c>
      <c r="B17" s="59"/>
      <c r="C17" s="59"/>
      <c r="D17" s="59"/>
      <c r="E17" s="59"/>
      <c r="F17" s="59"/>
      <c r="G17" s="59"/>
      <c r="H17" s="59"/>
      <c r="I17" s="59"/>
    </row>
    <row r="18" spans="1:9" ht="75" customHeight="1" x14ac:dyDescent="0.25">
      <c r="A18" s="60"/>
      <c r="B18" s="61" t="s">
        <v>318</v>
      </c>
      <c r="C18" s="61" t="s">
        <v>319</v>
      </c>
      <c r="D18" s="62" t="s">
        <v>320</v>
      </c>
      <c r="E18" s="61" t="s">
        <v>321</v>
      </c>
      <c r="F18" s="61" t="s">
        <v>322</v>
      </c>
      <c r="G18" s="61" t="s">
        <v>323</v>
      </c>
      <c r="H18" s="61" t="s">
        <v>324</v>
      </c>
      <c r="I18" s="78" t="s">
        <v>359</v>
      </c>
    </row>
    <row r="19" spans="1:9" ht="15.75" thickBot="1" x14ac:dyDescent="0.3">
      <c r="A19" s="63"/>
      <c r="B19" s="64"/>
      <c r="C19" s="64"/>
      <c r="D19" s="65"/>
      <c r="E19" s="64"/>
      <c r="F19" s="64"/>
      <c r="G19" s="64"/>
      <c r="H19" s="64"/>
      <c r="I19" s="79"/>
    </row>
    <row r="20" spans="1:9" ht="139.5" customHeight="1" x14ac:dyDescent="0.25">
      <c r="A20" s="60"/>
      <c r="B20" s="66" t="s">
        <v>325</v>
      </c>
      <c r="C20" s="61" t="s">
        <v>326</v>
      </c>
      <c r="D20" s="62" t="s">
        <v>320</v>
      </c>
      <c r="E20" s="61" t="s">
        <v>327</v>
      </c>
      <c r="F20" s="61" t="s">
        <v>328</v>
      </c>
      <c r="G20" s="61" t="s">
        <v>329</v>
      </c>
      <c r="H20" s="61" t="s">
        <v>330</v>
      </c>
      <c r="I20" s="78" t="s">
        <v>358</v>
      </c>
    </row>
    <row r="21" spans="1:9" ht="15.75" thickBot="1" x14ac:dyDescent="0.3">
      <c r="A21" s="63"/>
      <c r="B21" s="67"/>
      <c r="C21" s="64"/>
      <c r="D21" s="65"/>
      <c r="E21" s="64"/>
      <c r="F21" s="64"/>
      <c r="G21" s="64"/>
      <c r="H21" s="64"/>
      <c r="I21" s="79"/>
    </row>
    <row r="22" spans="1:9" ht="15.75" customHeight="1" thickBot="1" x14ac:dyDescent="0.3">
      <c r="A22" s="45"/>
      <c r="B22" s="46" t="s">
        <v>331</v>
      </c>
      <c r="C22" s="31" t="s">
        <v>332</v>
      </c>
      <c r="D22" s="48" t="s">
        <v>282</v>
      </c>
      <c r="E22" s="68" t="s">
        <v>333</v>
      </c>
      <c r="F22" s="69"/>
      <c r="G22" s="69"/>
      <c r="H22" s="69"/>
      <c r="I22" s="70"/>
    </row>
    <row r="23" spans="1:9" ht="45.75" customHeight="1" thickBot="1" x14ac:dyDescent="0.3">
      <c r="A23" s="45"/>
      <c r="B23" s="46" t="s">
        <v>334</v>
      </c>
      <c r="C23" s="31" t="s">
        <v>335</v>
      </c>
      <c r="D23" s="48" t="s">
        <v>282</v>
      </c>
      <c r="E23" s="49" t="s">
        <v>336</v>
      </c>
      <c r="F23" s="50"/>
      <c r="G23" s="50"/>
      <c r="H23" s="50"/>
      <c r="I23" s="51"/>
    </row>
    <row r="24" spans="1:9" ht="60.75" thickBot="1" x14ac:dyDescent="0.3">
      <c r="A24" s="45"/>
      <c r="B24" s="46" t="s">
        <v>337</v>
      </c>
      <c r="C24" s="31" t="s">
        <v>338</v>
      </c>
      <c r="D24" s="48" t="s">
        <v>320</v>
      </c>
      <c r="E24" s="31" t="s">
        <v>339</v>
      </c>
      <c r="F24" s="31" t="s">
        <v>340</v>
      </c>
      <c r="G24" s="31" t="s">
        <v>341</v>
      </c>
      <c r="H24" s="31" t="s">
        <v>342</v>
      </c>
      <c r="I24" s="31" t="s">
        <v>343</v>
      </c>
    </row>
    <row r="25" spans="1:9" ht="15.75" thickBot="1" x14ac:dyDescent="0.3">
      <c r="A25" s="71" t="s">
        <v>344</v>
      </c>
      <c r="B25" s="72"/>
      <c r="C25" s="72"/>
      <c r="D25" s="72"/>
      <c r="E25" s="72"/>
      <c r="F25" s="72"/>
      <c r="G25" s="72"/>
      <c r="H25" s="72"/>
      <c r="I25" s="72"/>
    </row>
    <row r="26" spans="1:9" ht="75.75" thickBot="1" x14ac:dyDescent="0.3">
      <c r="A26" s="45"/>
      <c r="B26" s="53" t="s">
        <v>318</v>
      </c>
      <c r="C26" s="31" t="s">
        <v>345</v>
      </c>
      <c r="D26" s="74" t="s">
        <v>357</v>
      </c>
      <c r="E26" s="31" t="s">
        <v>346</v>
      </c>
      <c r="F26" s="31" t="s">
        <v>347</v>
      </c>
      <c r="G26" s="31" t="s">
        <v>348</v>
      </c>
      <c r="H26" s="31" t="s">
        <v>349</v>
      </c>
      <c r="I26" s="31" t="s">
        <v>350</v>
      </c>
    </row>
    <row r="27" spans="1:9" ht="15.75" customHeight="1" thickBot="1" x14ac:dyDescent="0.3">
      <c r="A27" s="45"/>
      <c r="B27" s="46" t="s">
        <v>331</v>
      </c>
      <c r="C27" s="31" t="s">
        <v>332</v>
      </c>
      <c r="D27" s="48" t="s">
        <v>282</v>
      </c>
      <c r="E27" s="49" t="s">
        <v>333</v>
      </c>
      <c r="F27" s="50"/>
      <c r="G27" s="50"/>
      <c r="H27" s="50"/>
      <c r="I27" s="57"/>
    </row>
    <row r="28" spans="1:9" ht="30.75" customHeight="1" thickBot="1" x14ac:dyDescent="0.3">
      <c r="A28" s="45"/>
      <c r="B28" s="46" t="s">
        <v>334</v>
      </c>
      <c r="C28" s="31" t="s">
        <v>351</v>
      </c>
      <c r="D28" s="48" t="s">
        <v>282</v>
      </c>
      <c r="E28" s="49" t="s">
        <v>352</v>
      </c>
      <c r="F28" s="50"/>
      <c r="G28" s="50"/>
      <c r="H28" s="50"/>
      <c r="I28" s="51"/>
    </row>
    <row r="29" spans="1:9" ht="60.75" thickBot="1" x14ac:dyDescent="0.3">
      <c r="A29" s="45"/>
      <c r="B29" s="46" t="s">
        <v>337</v>
      </c>
      <c r="C29" s="31" t="s">
        <v>338</v>
      </c>
      <c r="D29" s="74" t="s">
        <v>357</v>
      </c>
      <c r="E29" s="31" t="s">
        <v>339</v>
      </c>
      <c r="F29" s="31" t="s">
        <v>353</v>
      </c>
      <c r="G29" s="31" t="s">
        <v>354</v>
      </c>
      <c r="H29" s="31" t="s">
        <v>355</v>
      </c>
      <c r="I29" s="31" t="s">
        <v>356</v>
      </c>
    </row>
    <row r="30" spans="1:9" x14ac:dyDescent="0.25">
      <c r="A30" s="73"/>
    </row>
  </sheetData>
  <mergeCells count="36">
    <mergeCell ref="E28:I28"/>
    <mergeCell ref="E27:I27"/>
    <mergeCell ref="A25:I25"/>
    <mergeCell ref="E23:I23"/>
    <mergeCell ref="E22:I22"/>
    <mergeCell ref="I20:I21"/>
    <mergeCell ref="G20:G21"/>
    <mergeCell ref="H20:H21"/>
    <mergeCell ref="A20:A21"/>
    <mergeCell ref="B20:B21"/>
    <mergeCell ref="C20:C21"/>
    <mergeCell ref="D20:D21"/>
    <mergeCell ref="E20:E21"/>
    <mergeCell ref="F20:F21"/>
    <mergeCell ref="A17:I17"/>
    <mergeCell ref="A18:A19"/>
    <mergeCell ref="B18:B19"/>
    <mergeCell ref="C18:C19"/>
    <mergeCell ref="D18:D19"/>
    <mergeCell ref="E18:E19"/>
    <mergeCell ref="F18:F19"/>
    <mergeCell ref="G18:G19"/>
    <mergeCell ref="H18:H19"/>
    <mergeCell ref="I18:I19"/>
    <mergeCell ref="E8:I8"/>
    <mergeCell ref="E9:I9"/>
    <mergeCell ref="A10:I10"/>
    <mergeCell ref="E11:I11"/>
    <mergeCell ref="E12:I12"/>
    <mergeCell ref="E13:I13"/>
    <mergeCell ref="A2:B3"/>
    <mergeCell ref="C2:C3"/>
    <mergeCell ref="D2:D3"/>
    <mergeCell ref="E2:I2"/>
    <mergeCell ref="A4:I4"/>
    <mergeCell ref="A5:I5"/>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DE795-7243-426D-8548-CB4F6ED6A6A5}">
  <sheetPr codeName="Sheet1"/>
  <dimension ref="A1:Q148"/>
  <sheetViews>
    <sheetView workbookViewId="0">
      <pane ySplit="2" topLeftCell="A3" activePane="bottomLeft" state="frozen"/>
      <selection activeCell="C1" sqref="C1"/>
      <selection pane="bottomLeft" activeCell="E4" sqref="E4"/>
    </sheetView>
  </sheetViews>
  <sheetFormatPr defaultRowHeight="15" x14ac:dyDescent="0.25"/>
  <cols>
    <col min="1" max="2" width="9.140625" style="2"/>
    <col min="3" max="3" width="14" style="3" hidden="1" customWidth="1"/>
    <col min="4" max="4" width="0" style="2" hidden="1" customWidth="1"/>
    <col min="5" max="5" width="34.28515625" style="28" customWidth="1"/>
    <col min="6" max="6" width="31.42578125" style="28" customWidth="1"/>
    <col min="7" max="7" width="11.5703125" style="5" customWidth="1"/>
    <col min="8" max="9" width="9.140625" style="5"/>
    <col min="10" max="10" width="11.85546875" style="5" customWidth="1"/>
    <col min="11" max="11" width="11.5703125" style="5" customWidth="1"/>
    <col min="12" max="16" width="9.140625" style="5"/>
    <col min="17" max="17" width="69" style="28" customWidth="1"/>
    <col min="18" max="16384" width="9.140625" style="2"/>
  </cols>
  <sheetData>
    <row r="1" spans="1:17" x14ac:dyDescent="0.25">
      <c r="A1" s="100" t="s">
        <v>397</v>
      </c>
      <c r="B1" s="101"/>
      <c r="C1" s="101"/>
      <c r="D1" s="101"/>
      <c r="E1" s="101"/>
      <c r="F1" s="102"/>
      <c r="G1" s="86" t="s">
        <v>363</v>
      </c>
      <c r="H1" s="86"/>
      <c r="I1" s="86"/>
      <c r="J1" s="86"/>
      <c r="K1" s="86"/>
      <c r="L1" s="103" t="s">
        <v>396</v>
      </c>
      <c r="M1" s="104"/>
      <c r="N1" s="105"/>
      <c r="O1" s="107" t="s">
        <v>399</v>
      </c>
      <c r="P1" s="108"/>
      <c r="Q1" s="110"/>
    </row>
    <row r="2" spans="1:17" ht="45" x14ac:dyDescent="0.25">
      <c r="A2" s="97" t="s">
        <v>84</v>
      </c>
      <c r="B2" s="97" t="s">
        <v>0</v>
      </c>
      <c r="C2" s="98" t="s">
        <v>89</v>
      </c>
      <c r="D2" s="97" t="s">
        <v>78</v>
      </c>
      <c r="E2" s="99" t="s">
        <v>206</v>
      </c>
      <c r="F2" s="99" t="s">
        <v>361</v>
      </c>
      <c r="G2" s="88" t="s">
        <v>72</v>
      </c>
      <c r="H2" s="88" t="s">
        <v>71</v>
      </c>
      <c r="I2" s="88" t="s">
        <v>80</v>
      </c>
      <c r="J2" s="88" t="s">
        <v>211</v>
      </c>
      <c r="K2" s="88" t="s">
        <v>212</v>
      </c>
      <c r="L2" s="96" t="s">
        <v>81</v>
      </c>
      <c r="M2" s="96" t="s">
        <v>82</v>
      </c>
      <c r="N2" s="96" t="s">
        <v>210</v>
      </c>
      <c r="O2" s="106" t="s">
        <v>398</v>
      </c>
      <c r="P2" s="106" t="s">
        <v>90</v>
      </c>
      <c r="Q2" s="111" t="s">
        <v>261</v>
      </c>
    </row>
    <row r="3" spans="1:17" ht="75" x14ac:dyDescent="0.25">
      <c r="A3" s="117">
        <v>50</v>
      </c>
      <c r="B3" s="115" t="s">
        <v>76</v>
      </c>
      <c r="C3" s="90">
        <v>314.06</v>
      </c>
      <c r="D3" s="89"/>
      <c r="E3" s="112" t="s">
        <v>217</v>
      </c>
      <c r="F3" s="113" t="s">
        <v>368</v>
      </c>
      <c r="G3" s="115">
        <v>5</v>
      </c>
      <c r="H3" s="115">
        <v>5</v>
      </c>
      <c r="I3" s="115">
        <v>1</v>
      </c>
      <c r="J3" s="115">
        <v>5</v>
      </c>
      <c r="K3" s="115">
        <v>3</v>
      </c>
      <c r="L3" s="115" t="s">
        <v>79</v>
      </c>
      <c r="M3" s="115" t="s">
        <v>79</v>
      </c>
      <c r="N3" s="115" t="s">
        <v>79</v>
      </c>
      <c r="O3" s="115" t="s">
        <v>79</v>
      </c>
      <c r="P3" s="115" t="s">
        <v>21</v>
      </c>
      <c r="Q3" s="87" t="s">
        <v>173</v>
      </c>
    </row>
    <row r="4" spans="1:17" ht="90" x14ac:dyDescent="0.25">
      <c r="A4" s="116">
        <v>49</v>
      </c>
      <c r="B4" s="115" t="s">
        <v>76</v>
      </c>
      <c r="C4" s="90">
        <v>315.02</v>
      </c>
      <c r="D4" s="16"/>
      <c r="E4" s="112" t="s">
        <v>246</v>
      </c>
      <c r="F4" s="112" t="s">
        <v>367</v>
      </c>
      <c r="G4" s="116">
        <v>5</v>
      </c>
      <c r="H4" s="116">
        <v>3</v>
      </c>
      <c r="I4" s="116">
        <v>1</v>
      </c>
      <c r="J4" s="116">
        <v>2</v>
      </c>
      <c r="K4" s="116">
        <v>2</v>
      </c>
      <c r="L4" s="115" t="s">
        <v>79</v>
      </c>
      <c r="M4" s="115" t="s">
        <v>79</v>
      </c>
      <c r="N4" s="115" t="s">
        <v>79</v>
      </c>
      <c r="O4" s="116"/>
      <c r="P4" s="115" t="s">
        <v>21</v>
      </c>
      <c r="Q4" s="87" t="s">
        <v>199</v>
      </c>
    </row>
    <row r="5" spans="1:17" ht="75" x14ac:dyDescent="0.25">
      <c r="A5" s="116">
        <v>50</v>
      </c>
      <c r="B5" s="115" t="s">
        <v>76</v>
      </c>
      <c r="C5" s="90">
        <v>313.01</v>
      </c>
      <c r="D5" s="16"/>
      <c r="E5" s="112" t="s">
        <v>247</v>
      </c>
      <c r="F5" s="112" t="s">
        <v>366</v>
      </c>
      <c r="G5" s="116">
        <v>5</v>
      </c>
      <c r="H5" s="116">
        <v>3</v>
      </c>
      <c r="I5" s="116">
        <v>3</v>
      </c>
      <c r="J5" s="116">
        <v>5</v>
      </c>
      <c r="K5" s="116">
        <v>3</v>
      </c>
      <c r="L5" s="115" t="s">
        <v>79</v>
      </c>
      <c r="M5" s="115" t="s">
        <v>79</v>
      </c>
      <c r="N5" s="115" t="s">
        <v>79</v>
      </c>
      <c r="O5" s="116"/>
      <c r="P5" s="115" t="s">
        <v>21</v>
      </c>
      <c r="Q5" s="87" t="s">
        <v>200</v>
      </c>
    </row>
    <row r="6" spans="1:17" ht="30" x14ac:dyDescent="0.25">
      <c r="A6" s="116">
        <v>50</v>
      </c>
      <c r="B6" s="115" t="s">
        <v>76</v>
      </c>
      <c r="C6" s="90">
        <v>307.04000000000002</v>
      </c>
      <c r="D6" s="16"/>
      <c r="E6" s="112" t="s">
        <v>249</v>
      </c>
      <c r="F6" s="112" t="s">
        <v>365</v>
      </c>
      <c r="G6" s="116">
        <v>5</v>
      </c>
      <c r="H6" s="116">
        <v>3</v>
      </c>
      <c r="I6" s="116">
        <v>5</v>
      </c>
      <c r="J6" s="116">
        <v>1</v>
      </c>
      <c r="K6" s="116">
        <v>3</v>
      </c>
      <c r="L6" s="116" t="s">
        <v>21</v>
      </c>
      <c r="M6" s="116" t="s">
        <v>79</v>
      </c>
      <c r="N6" s="116" t="s">
        <v>21</v>
      </c>
      <c r="O6" s="116" t="s">
        <v>79</v>
      </c>
      <c r="P6" s="115" t="s">
        <v>21</v>
      </c>
      <c r="Q6" s="87" t="s">
        <v>202</v>
      </c>
    </row>
    <row r="7" spans="1:17" ht="30" x14ac:dyDescent="0.25">
      <c r="A7" s="116">
        <v>50</v>
      </c>
      <c r="B7" s="115" t="s">
        <v>76</v>
      </c>
      <c r="C7" s="90">
        <v>307.04000000000002</v>
      </c>
      <c r="D7" s="16"/>
      <c r="E7" s="112" t="s">
        <v>250</v>
      </c>
      <c r="F7" s="112" t="s">
        <v>251</v>
      </c>
      <c r="G7" s="116">
        <v>5</v>
      </c>
      <c r="H7" s="116">
        <v>3</v>
      </c>
      <c r="I7" s="116">
        <v>5</v>
      </c>
      <c r="J7" s="116">
        <v>1</v>
      </c>
      <c r="K7" s="116">
        <v>3</v>
      </c>
      <c r="L7" s="116" t="s">
        <v>21</v>
      </c>
      <c r="M7" s="116" t="s">
        <v>79</v>
      </c>
      <c r="N7" s="116" t="s">
        <v>21</v>
      </c>
      <c r="O7" s="116" t="s">
        <v>79</v>
      </c>
      <c r="P7" s="115" t="s">
        <v>21</v>
      </c>
      <c r="Q7" s="87" t="s">
        <v>202</v>
      </c>
    </row>
    <row r="8" spans="1:17" ht="60" x14ac:dyDescent="0.25">
      <c r="A8" s="117">
        <v>49</v>
      </c>
      <c r="B8" s="115" t="s">
        <v>75</v>
      </c>
      <c r="C8" s="90">
        <v>203</v>
      </c>
      <c r="D8" s="89"/>
      <c r="E8" s="112" t="s">
        <v>215</v>
      </c>
      <c r="F8" s="113" t="s">
        <v>364</v>
      </c>
      <c r="G8" s="115">
        <v>3</v>
      </c>
      <c r="H8" s="115">
        <v>3</v>
      </c>
      <c r="I8" s="115">
        <v>1</v>
      </c>
      <c r="J8" s="115">
        <v>1</v>
      </c>
      <c r="K8" s="115">
        <v>4</v>
      </c>
      <c r="L8" s="115" t="s">
        <v>21</v>
      </c>
      <c r="M8" s="115" t="s">
        <v>79</v>
      </c>
      <c r="N8" s="115" t="s">
        <v>21</v>
      </c>
      <c r="O8" s="115"/>
      <c r="P8" s="115" t="s">
        <v>21</v>
      </c>
      <c r="Q8" s="87" t="s">
        <v>171</v>
      </c>
    </row>
    <row r="9" spans="1:17" ht="75" x14ac:dyDescent="0.25">
      <c r="A9" s="117">
        <v>65</v>
      </c>
      <c r="B9" s="115" t="s">
        <v>75</v>
      </c>
      <c r="C9" s="90">
        <v>213.22</v>
      </c>
      <c r="D9" s="89"/>
      <c r="E9" s="113" t="s">
        <v>218</v>
      </c>
      <c r="F9" s="113" t="s">
        <v>369</v>
      </c>
      <c r="G9" s="115">
        <v>3</v>
      </c>
      <c r="H9" s="115">
        <v>5</v>
      </c>
      <c r="I9" s="115">
        <v>3</v>
      </c>
      <c r="J9" s="115">
        <v>5</v>
      </c>
      <c r="K9" s="115">
        <v>1</v>
      </c>
      <c r="L9" s="115" t="s">
        <v>79</v>
      </c>
      <c r="M9" s="115" t="s">
        <v>21</v>
      </c>
      <c r="N9" s="115" t="s">
        <v>21</v>
      </c>
      <c r="O9" s="115"/>
      <c r="P9" s="115" t="s">
        <v>21</v>
      </c>
      <c r="Q9" s="87" t="s">
        <v>174</v>
      </c>
    </row>
    <row r="10" spans="1:17" ht="75" x14ac:dyDescent="0.25">
      <c r="A10" s="117">
        <v>80</v>
      </c>
      <c r="B10" s="115" t="s">
        <v>75</v>
      </c>
      <c r="C10" s="90">
        <v>207.17</v>
      </c>
      <c r="D10" s="89"/>
      <c r="E10" s="113" t="s">
        <v>229</v>
      </c>
      <c r="F10" s="112" t="s">
        <v>230</v>
      </c>
      <c r="G10" s="115">
        <v>5</v>
      </c>
      <c r="H10" s="115">
        <v>5</v>
      </c>
      <c r="I10" s="115">
        <v>3</v>
      </c>
      <c r="J10" s="115">
        <v>5</v>
      </c>
      <c r="K10" s="115">
        <v>2</v>
      </c>
      <c r="L10" s="115" t="s">
        <v>79</v>
      </c>
      <c r="M10" s="115" t="s">
        <v>79</v>
      </c>
      <c r="N10" s="115" t="s">
        <v>79</v>
      </c>
      <c r="O10" s="115"/>
      <c r="P10" s="115" t="s">
        <v>21</v>
      </c>
      <c r="Q10" s="87" t="s">
        <v>183</v>
      </c>
    </row>
    <row r="11" spans="1:17" ht="75" x14ac:dyDescent="0.25">
      <c r="A11" s="117">
        <v>80</v>
      </c>
      <c r="B11" s="115" t="s">
        <v>75</v>
      </c>
      <c r="C11" s="90">
        <v>212.03</v>
      </c>
      <c r="D11" s="89"/>
      <c r="E11" s="112" t="s">
        <v>231</v>
      </c>
      <c r="F11" s="113" t="s">
        <v>370</v>
      </c>
      <c r="G11" s="115">
        <v>5</v>
      </c>
      <c r="H11" s="115">
        <v>3</v>
      </c>
      <c r="I11" s="115">
        <v>1</v>
      </c>
      <c r="J11" s="115">
        <v>5</v>
      </c>
      <c r="K11" s="115">
        <v>4</v>
      </c>
      <c r="L11" s="115" t="s">
        <v>79</v>
      </c>
      <c r="M11" s="115" t="s">
        <v>79</v>
      </c>
      <c r="N11" s="115" t="s">
        <v>79</v>
      </c>
      <c r="O11" s="115" t="s">
        <v>79</v>
      </c>
      <c r="P11" s="115" t="s">
        <v>21</v>
      </c>
      <c r="Q11" s="87" t="s">
        <v>184</v>
      </c>
    </row>
    <row r="12" spans="1:17" ht="90" x14ac:dyDescent="0.25">
      <c r="A12" s="117">
        <v>80</v>
      </c>
      <c r="B12" s="115" t="s">
        <v>75</v>
      </c>
      <c r="C12" s="90">
        <v>205.02</v>
      </c>
      <c r="D12" s="89"/>
      <c r="E12" s="112" t="s">
        <v>232</v>
      </c>
      <c r="F12" s="113" t="s">
        <v>371</v>
      </c>
      <c r="G12" s="115">
        <v>5</v>
      </c>
      <c r="H12" s="115">
        <v>5</v>
      </c>
      <c r="I12" s="115">
        <v>1</v>
      </c>
      <c r="J12" s="115">
        <v>5</v>
      </c>
      <c r="K12" s="115">
        <v>4</v>
      </c>
      <c r="L12" s="115" t="s">
        <v>79</v>
      </c>
      <c r="M12" s="115" t="s">
        <v>79</v>
      </c>
      <c r="N12" s="115" t="s">
        <v>79</v>
      </c>
      <c r="O12" s="115" t="s">
        <v>79</v>
      </c>
      <c r="P12" s="115" t="s">
        <v>21</v>
      </c>
      <c r="Q12" s="87" t="s">
        <v>185</v>
      </c>
    </row>
    <row r="13" spans="1:17" ht="105" x14ac:dyDescent="0.25">
      <c r="A13" s="116">
        <v>65</v>
      </c>
      <c r="B13" s="115" t="s">
        <v>75</v>
      </c>
      <c r="C13" s="90">
        <v>210.43</v>
      </c>
      <c r="D13" s="16"/>
      <c r="E13" s="112" t="s">
        <v>248</v>
      </c>
      <c r="F13" s="112" t="s">
        <v>372</v>
      </c>
      <c r="G13" s="116">
        <v>5</v>
      </c>
      <c r="H13" s="116">
        <v>3</v>
      </c>
      <c r="I13" s="116">
        <v>3</v>
      </c>
      <c r="J13" s="116">
        <v>5</v>
      </c>
      <c r="K13" s="116">
        <v>5</v>
      </c>
      <c r="L13" s="115" t="s">
        <v>79</v>
      </c>
      <c r="M13" s="115" t="s">
        <v>79</v>
      </c>
      <c r="N13" s="115" t="s">
        <v>79</v>
      </c>
      <c r="O13" s="116"/>
      <c r="P13" s="115" t="s">
        <v>21</v>
      </c>
      <c r="Q13" s="87" t="s">
        <v>201</v>
      </c>
    </row>
    <row r="14" spans="1:17" ht="60" x14ac:dyDescent="0.25">
      <c r="A14" s="116">
        <v>65</v>
      </c>
      <c r="B14" s="116" t="s">
        <v>75</v>
      </c>
      <c r="C14" s="85">
        <v>232</v>
      </c>
      <c r="D14" s="16"/>
      <c r="E14" s="112" t="s">
        <v>254</v>
      </c>
      <c r="F14" s="112" t="s">
        <v>253</v>
      </c>
      <c r="G14" s="116">
        <v>3</v>
      </c>
      <c r="H14" s="116">
        <v>3</v>
      </c>
      <c r="I14" s="116">
        <v>1</v>
      </c>
      <c r="J14" s="116">
        <v>5</v>
      </c>
      <c r="K14" s="116">
        <v>5</v>
      </c>
      <c r="L14" s="115" t="s">
        <v>79</v>
      </c>
      <c r="M14" s="115" t="s">
        <v>79</v>
      </c>
      <c r="N14" s="115" t="s">
        <v>79</v>
      </c>
      <c r="O14" s="116" t="s">
        <v>79</v>
      </c>
      <c r="P14" s="115" t="s">
        <v>21</v>
      </c>
      <c r="Q14" s="87" t="s">
        <v>204</v>
      </c>
    </row>
    <row r="15" spans="1:17" ht="30" x14ac:dyDescent="0.25">
      <c r="A15" s="116" t="s">
        <v>20</v>
      </c>
      <c r="B15" s="116" t="s">
        <v>75</v>
      </c>
      <c r="C15" s="85">
        <v>213.22</v>
      </c>
      <c r="D15" s="16"/>
      <c r="E15" s="112" t="s">
        <v>256</v>
      </c>
      <c r="F15" s="112" t="s">
        <v>258</v>
      </c>
      <c r="G15" s="116"/>
      <c r="H15" s="116"/>
      <c r="I15" s="116"/>
      <c r="J15" s="116"/>
      <c r="K15" s="116"/>
      <c r="L15" s="115" t="s">
        <v>79</v>
      </c>
      <c r="M15" s="115" t="s">
        <v>79</v>
      </c>
      <c r="N15" s="115" t="s">
        <v>79</v>
      </c>
      <c r="O15" s="116" t="s">
        <v>79</v>
      </c>
      <c r="P15" s="115" t="s">
        <v>21</v>
      </c>
      <c r="Q15" s="87" t="s">
        <v>96</v>
      </c>
    </row>
    <row r="16" spans="1:17" ht="60" x14ac:dyDescent="0.25">
      <c r="A16" s="117">
        <v>5</v>
      </c>
      <c r="B16" s="115" t="s">
        <v>73</v>
      </c>
      <c r="C16" s="90">
        <v>96.35</v>
      </c>
      <c r="D16" s="89">
        <v>10.826000000000001</v>
      </c>
      <c r="E16" s="113" t="s">
        <v>222</v>
      </c>
      <c r="F16" s="112" t="s">
        <v>207</v>
      </c>
      <c r="G16" s="115">
        <v>5</v>
      </c>
      <c r="H16" s="115">
        <v>1</v>
      </c>
      <c r="I16" s="115">
        <v>1</v>
      </c>
      <c r="J16" s="115">
        <v>5</v>
      </c>
      <c r="K16" s="115">
        <v>5</v>
      </c>
      <c r="L16" s="115" t="s">
        <v>79</v>
      </c>
      <c r="M16" s="115" t="s">
        <v>79</v>
      </c>
      <c r="N16" s="115" t="s">
        <v>79</v>
      </c>
      <c r="O16" s="115" t="s">
        <v>79</v>
      </c>
      <c r="P16" s="115" t="s">
        <v>21</v>
      </c>
      <c r="Q16" s="87" t="s">
        <v>166</v>
      </c>
    </row>
    <row r="17" spans="1:17" ht="60" x14ac:dyDescent="0.25">
      <c r="A17" s="117">
        <v>5</v>
      </c>
      <c r="B17" s="115" t="s">
        <v>73</v>
      </c>
      <c r="C17" s="90">
        <v>96.18</v>
      </c>
      <c r="D17" s="89">
        <v>12.037000000000001</v>
      </c>
      <c r="E17" s="113" t="s">
        <v>223</v>
      </c>
      <c r="F17" s="112" t="s">
        <v>362</v>
      </c>
      <c r="G17" s="115">
        <v>5</v>
      </c>
      <c r="H17" s="115">
        <v>1</v>
      </c>
      <c r="I17" s="115">
        <v>1</v>
      </c>
      <c r="J17" s="115">
        <v>5</v>
      </c>
      <c r="K17" s="115">
        <v>5</v>
      </c>
      <c r="L17" s="115" t="s">
        <v>79</v>
      </c>
      <c r="M17" s="115" t="s">
        <v>79</v>
      </c>
      <c r="N17" s="115" t="s">
        <v>79</v>
      </c>
      <c r="O17" s="115" t="s">
        <v>79</v>
      </c>
      <c r="P17" s="115" t="s">
        <v>21</v>
      </c>
      <c r="Q17" s="87" t="s">
        <v>167</v>
      </c>
    </row>
    <row r="18" spans="1:17" ht="60" x14ac:dyDescent="0.25">
      <c r="A18" s="117">
        <v>5</v>
      </c>
      <c r="B18" s="115" t="s">
        <v>73</v>
      </c>
      <c r="C18" s="90">
        <v>99</v>
      </c>
      <c r="D18" s="89"/>
      <c r="E18" s="113" t="s">
        <v>224</v>
      </c>
      <c r="F18" s="112" t="s">
        <v>208</v>
      </c>
      <c r="G18" s="115">
        <v>5</v>
      </c>
      <c r="H18" s="115">
        <v>3</v>
      </c>
      <c r="I18" s="115">
        <v>1</v>
      </c>
      <c r="J18" s="115">
        <v>5</v>
      </c>
      <c r="K18" s="115">
        <v>5</v>
      </c>
      <c r="L18" s="115" t="s">
        <v>79</v>
      </c>
      <c r="M18" s="115" t="s">
        <v>79</v>
      </c>
      <c r="N18" s="115" t="s">
        <v>79</v>
      </c>
      <c r="O18" s="115" t="s">
        <v>79</v>
      </c>
      <c r="P18" s="115" t="s">
        <v>21</v>
      </c>
      <c r="Q18" s="87" t="s">
        <v>168</v>
      </c>
    </row>
    <row r="19" spans="1:17" ht="60" x14ac:dyDescent="0.25">
      <c r="A19" s="117">
        <v>99</v>
      </c>
      <c r="B19" s="115" t="s">
        <v>73</v>
      </c>
      <c r="C19" s="90">
        <v>47.01</v>
      </c>
      <c r="D19" s="89">
        <v>17.184999999999999</v>
      </c>
      <c r="E19" s="113" t="s">
        <v>225</v>
      </c>
      <c r="F19" s="112" t="s">
        <v>209</v>
      </c>
      <c r="G19" s="115">
        <v>5</v>
      </c>
      <c r="H19" s="115">
        <v>5</v>
      </c>
      <c r="I19" s="115">
        <v>1</v>
      </c>
      <c r="J19" s="115">
        <v>5</v>
      </c>
      <c r="K19" s="115">
        <v>5</v>
      </c>
      <c r="L19" s="115" t="s">
        <v>79</v>
      </c>
      <c r="M19" s="115" t="s">
        <v>79</v>
      </c>
      <c r="N19" s="115" t="s">
        <v>79</v>
      </c>
      <c r="O19" s="115" t="s">
        <v>21</v>
      </c>
      <c r="P19" s="115" t="s">
        <v>79</v>
      </c>
      <c r="Q19" s="87" t="s">
        <v>169</v>
      </c>
    </row>
    <row r="20" spans="1:17" ht="90" x14ac:dyDescent="0.25">
      <c r="A20" s="117">
        <v>50</v>
      </c>
      <c r="B20" s="115" t="s">
        <v>73</v>
      </c>
      <c r="C20" s="90">
        <v>85.04</v>
      </c>
      <c r="D20" s="89"/>
      <c r="E20" s="112" t="s">
        <v>216</v>
      </c>
      <c r="F20" s="113" t="s">
        <v>373</v>
      </c>
      <c r="G20" s="115">
        <v>3</v>
      </c>
      <c r="H20" s="115">
        <v>5</v>
      </c>
      <c r="I20" s="115">
        <v>3</v>
      </c>
      <c r="J20" s="115">
        <v>5</v>
      </c>
      <c r="K20" s="115">
        <v>1</v>
      </c>
      <c r="L20" s="115" t="s">
        <v>79</v>
      </c>
      <c r="M20" s="115" t="s">
        <v>21</v>
      </c>
      <c r="N20" s="115" t="s">
        <v>21</v>
      </c>
      <c r="O20" s="115"/>
      <c r="P20" s="115" t="s">
        <v>21</v>
      </c>
      <c r="Q20" s="87" t="s">
        <v>172</v>
      </c>
    </row>
    <row r="21" spans="1:17" ht="105" x14ac:dyDescent="0.25">
      <c r="A21" s="118" t="s">
        <v>180</v>
      </c>
      <c r="B21" s="115" t="s">
        <v>73</v>
      </c>
      <c r="C21" s="90">
        <v>70.19</v>
      </c>
      <c r="D21" s="89"/>
      <c r="E21" s="112" t="s">
        <v>226</v>
      </c>
      <c r="F21" s="113" t="s">
        <v>227</v>
      </c>
      <c r="G21" s="115">
        <v>3</v>
      </c>
      <c r="H21" s="115">
        <v>1</v>
      </c>
      <c r="I21" s="115">
        <v>5</v>
      </c>
      <c r="J21" s="115">
        <v>5</v>
      </c>
      <c r="K21" s="115">
        <v>5</v>
      </c>
      <c r="L21" s="115" t="s">
        <v>79</v>
      </c>
      <c r="M21" s="115" t="s">
        <v>79</v>
      </c>
      <c r="N21" s="115" t="s">
        <v>79</v>
      </c>
      <c r="O21" s="115"/>
      <c r="P21" s="115" t="s">
        <v>21</v>
      </c>
      <c r="Q21" s="87" t="s">
        <v>181</v>
      </c>
    </row>
    <row r="22" spans="1:17" ht="75" x14ac:dyDescent="0.25">
      <c r="A22" s="117">
        <v>80</v>
      </c>
      <c r="B22" s="115" t="s">
        <v>73</v>
      </c>
      <c r="C22" s="90">
        <v>74.17</v>
      </c>
      <c r="D22" s="89"/>
      <c r="E22" s="112" t="s">
        <v>228</v>
      </c>
      <c r="F22" s="113" t="s">
        <v>374</v>
      </c>
      <c r="G22" s="115">
        <v>3</v>
      </c>
      <c r="H22" s="115">
        <v>3</v>
      </c>
      <c r="I22" s="115">
        <v>1</v>
      </c>
      <c r="J22" s="115">
        <v>5</v>
      </c>
      <c r="K22" s="115">
        <v>4</v>
      </c>
      <c r="L22" s="115" t="s">
        <v>79</v>
      </c>
      <c r="M22" s="115" t="s">
        <v>79</v>
      </c>
      <c r="N22" s="115" t="s">
        <v>79</v>
      </c>
      <c r="O22" s="115" t="s">
        <v>79</v>
      </c>
      <c r="P22" s="115" t="s">
        <v>21</v>
      </c>
      <c r="Q22" s="87" t="s">
        <v>182</v>
      </c>
    </row>
    <row r="23" spans="1:17" ht="75" x14ac:dyDescent="0.25">
      <c r="A23" s="117">
        <v>99</v>
      </c>
      <c r="B23" s="115" t="s">
        <v>73</v>
      </c>
      <c r="C23" s="90">
        <v>94.08</v>
      </c>
      <c r="D23" s="89"/>
      <c r="E23" s="112" t="s">
        <v>233</v>
      </c>
      <c r="F23" s="113" t="s">
        <v>375</v>
      </c>
      <c r="G23" s="115">
        <v>3</v>
      </c>
      <c r="H23" s="115">
        <v>3</v>
      </c>
      <c r="I23" s="115">
        <v>1</v>
      </c>
      <c r="J23" s="115">
        <v>5</v>
      </c>
      <c r="K23" s="115">
        <v>1</v>
      </c>
      <c r="L23" s="115" t="s">
        <v>79</v>
      </c>
      <c r="M23" s="115" t="s">
        <v>21</v>
      </c>
      <c r="N23" s="115" t="s">
        <v>21</v>
      </c>
      <c r="O23" s="115"/>
      <c r="P23" s="115" t="s">
        <v>21</v>
      </c>
      <c r="Q23" s="87" t="s">
        <v>186</v>
      </c>
    </row>
    <row r="24" spans="1:17" ht="75" x14ac:dyDescent="0.25">
      <c r="A24" s="117">
        <v>99</v>
      </c>
      <c r="B24" s="115" t="s">
        <v>73</v>
      </c>
      <c r="C24" s="90">
        <v>94.13</v>
      </c>
      <c r="D24" s="89"/>
      <c r="E24" s="113" t="s">
        <v>234</v>
      </c>
      <c r="F24" s="112" t="s">
        <v>376</v>
      </c>
      <c r="G24" s="115">
        <v>5</v>
      </c>
      <c r="H24" s="115">
        <v>1</v>
      </c>
      <c r="I24" s="115">
        <v>1</v>
      </c>
      <c r="J24" s="115">
        <v>3</v>
      </c>
      <c r="K24" s="115">
        <v>5</v>
      </c>
      <c r="L24" s="115" t="s">
        <v>79</v>
      </c>
      <c r="M24" s="115" t="s">
        <v>79</v>
      </c>
      <c r="N24" s="115" t="s">
        <v>79</v>
      </c>
      <c r="O24" s="115" t="s">
        <v>79</v>
      </c>
      <c r="P24" s="115" t="s">
        <v>21</v>
      </c>
      <c r="Q24" s="87" t="s">
        <v>187</v>
      </c>
    </row>
    <row r="25" spans="1:17" ht="90" x14ac:dyDescent="0.25">
      <c r="A25" s="116" t="s">
        <v>20</v>
      </c>
      <c r="B25" s="115" t="s">
        <v>73</v>
      </c>
      <c r="C25" s="90">
        <v>52.05</v>
      </c>
      <c r="D25" s="16"/>
      <c r="E25" s="112" t="s">
        <v>239</v>
      </c>
      <c r="F25" s="112" t="s">
        <v>377</v>
      </c>
      <c r="G25" s="116">
        <v>1</v>
      </c>
      <c r="H25" s="116">
        <v>5</v>
      </c>
      <c r="I25" s="116">
        <v>3</v>
      </c>
      <c r="J25" s="116">
        <v>5</v>
      </c>
      <c r="K25" s="116">
        <v>3</v>
      </c>
      <c r="L25" s="115" t="s">
        <v>79</v>
      </c>
      <c r="M25" s="115" t="s">
        <v>79</v>
      </c>
      <c r="N25" s="115" t="s">
        <v>79</v>
      </c>
      <c r="O25" s="116"/>
      <c r="P25" s="116" t="s">
        <v>83</v>
      </c>
      <c r="Q25" s="87" t="s">
        <v>193</v>
      </c>
    </row>
    <row r="26" spans="1:17" ht="90" x14ac:dyDescent="0.25">
      <c r="A26" s="116" t="s">
        <v>20</v>
      </c>
      <c r="B26" s="115" t="s">
        <v>73</v>
      </c>
      <c r="C26" s="90">
        <v>52.05</v>
      </c>
      <c r="D26" s="16"/>
      <c r="E26" s="112" t="s">
        <v>240</v>
      </c>
      <c r="F26" s="112" t="s">
        <v>378</v>
      </c>
      <c r="G26" s="116">
        <v>1</v>
      </c>
      <c r="H26" s="116">
        <v>5</v>
      </c>
      <c r="I26" s="116">
        <v>1</v>
      </c>
      <c r="J26" s="116">
        <v>5</v>
      </c>
      <c r="K26" s="116">
        <v>1</v>
      </c>
      <c r="L26" s="116" t="s">
        <v>79</v>
      </c>
      <c r="M26" s="116" t="s">
        <v>21</v>
      </c>
      <c r="N26" s="116" t="s">
        <v>21</v>
      </c>
      <c r="O26" s="116"/>
      <c r="P26" s="116" t="s">
        <v>83</v>
      </c>
      <c r="Q26" s="87" t="s">
        <v>194</v>
      </c>
    </row>
    <row r="27" spans="1:17" ht="90" x14ac:dyDescent="0.25">
      <c r="A27" s="116" t="s">
        <v>20</v>
      </c>
      <c r="B27" s="115" t="s">
        <v>73</v>
      </c>
      <c r="C27" s="90">
        <v>73.010000000000005</v>
      </c>
      <c r="D27" s="16"/>
      <c r="E27" s="112" t="s">
        <v>241</v>
      </c>
      <c r="F27" s="112" t="s">
        <v>379</v>
      </c>
      <c r="G27" s="116">
        <v>1</v>
      </c>
      <c r="H27" s="116">
        <v>5</v>
      </c>
      <c r="I27" s="116">
        <v>1</v>
      </c>
      <c r="J27" s="116">
        <v>5</v>
      </c>
      <c r="K27" s="116">
        <v>1</v>
      </c>
      <c r="L27" s="116" t="s">
        <v>79</v>
      </c>
      <c r="M27" s="116" t="s">
        <v>21</v>
      </c>
      <c r="N27" s="116" t="s">
        <v>21</v>
      </c>
      <c r="O27" s="116"/>
      <c r="P27" s="116" t="s">
        <v>83</v>
      </c>
      <c r="Q27" s="87" t="s">
        <v>195</v>
      </c>
    </row>
    <row r="28" spans="1:17" ht="90" x14ac:dyDescent="0.25">
      <c r="A28" s="116" t="s">
        <v>92</v>
      </c>
      <c r="B28" s="115" t="s">
        <v>73</v>
      </c>
      <c r="C28" s="90">
        <v>74.13</v>
      </c>
      <c r="D28" s="16"/>
      <c r="E28" s="112" t="s">
        <v>242</v>
      </c>
      <c r="F28" s="112" t="s">
        <v>380</v>
      </c>
      <c r="G28" s="116">
        <v>5</v>
      </c>
      <c r="H28" s="116">
        <v>3</v>
      </c>
      <c r="I28" s="116">
        <v>3</v>
      </c>
      <c r="J28" s="116">
        <v>3</v>
      </c>
      <c r="K28" s="116">
        <v>3</v>
      </c>
      <c r="L28" s="115" t="s">
        <v>79</v>
      </c>
      <c r="M28" s="115" t="s">
        <v>79</v>
      </c>
      <c r="N28" s="115" t="s">
        <v>79</v>
      </c>
      <c r="O28" s="116"/>
      <c r="P28" s="116" t="s">
        <v>83</v>
      </c>
      <c r="Q28" s="87" t="s">
        <v>196</v>
      </c>
    </row>
    <row r="29" spans="1:17" ht="90" x14ac:dyDescent="0.25">
      <c r="A29" s="116">
        <v>80</v>
      </c>
      <c r="B29" s="115" t="s">
        <v>73</v>
      </c>
      <c r="C29" s="90">
        <v>67.010000000000005</v>
      </c>
      <c r="D29" s="16"/>
      <c r="E29" s="112" t="s">
        <v>244</v>
      </c>
      <c r="F29" s="112" t="s">
        <v>243</v>
      </c>
      <c r="G29" s="116">
        <v>3</v>
      </c>
      <c r="H29" s="116">
        <v>5</v>
      </c>
      <c r="I29" s="116">
        <v>5</v>
      </c>
      <c r="J29" s="116">
        <v>1</v>
      </c>
      <c r="K29" s="116">
        <v>5</v>
      </c>
      <c r="L29" s="116" t="s">
        <v>21</v>
      </c>
      <c r="M29" s="116" t="s">
        <v>79</v>
      </c>
      <c r="N29" s="116" t="s">
        <v>21</v>
      </c>
      <c r="O29" s="116"/>
      <c r="P29" s="116" t="s">
        <v>83</v>
      </c>
      <c r="Q29" s="87" t="s">
        <v>197</v>
      </c>
    </row>
    <row r="30" spans="1:17" ht="75" x14ac:dyDescent="0.25">
      <c r="A30" s="116">
        <v>99</v>
      </c>
      <c r="B30" s="115" t="s">
        <v>73</v>
      </c>
      <c r="C30" s="90">
        <v>45.02</v>
      </c>
      <c r="D30" s="16"/>
      <c r="E30" s="112" t="s">
        <v>245</v>
      </c>
      <c r="F30" s="112" t="s">
        <v>381</v>
      </c>
      <c r="G30" s="116">
        <v>1</v>
      </c>
      <c r="H30" s="116">
        <v>5</v>
      </c>
      <c r="I30" s="116">
        <v>5</v>
      </c>
      <c r="J30" s="116">
        <v>2</v>
      </c>
      <c r="K30" s="116">
        <v>2</v>
      </c>
      <c r="L30" s="115" t="s">
        <v>79</v>
      </c>
      <c r="M30" s="115" t="s">
        <v>79</v>
      </c>
      <c r="N30" s="115" t="s">
        <v>79</v>
      </c>
      <c r="O30" s="116"/>
      <c r="P30" s="116" t="s">
        <v>83</v>
      </c>
      <c r="Q30" s="87" t="s">
        <v>198</v>
      </c>
    </row>
    <row r="31" spans="1:17" ht="60" x14ac:dyDescent="0.25">
      <c r="A31" s="116" t="s">
        <v>20</v>
      </c>
      <c r="B31" s="116" t="s">
        <v>73</v>
      </c>
      <c r="C31" s="85">
        <v>92.01</v>
      </c>
      <c r="D31" s="16"/>
      <c r="E31" s="112" t="s">
        <v>257</v>
      </c>
      <c r="F31" s="112" t="s">
        <v>382</v>
      </c>
      <c r="G31" s="116"/>
      <c r="H31" s="116"/>
      <c r="I31" s="116"/>
      <c r="J31" s="116"/>
      <c r="K31" s="116"/>
      <c r="L31" s="115" t="s">
        <v>79</v>
      </c>
      <c r="M31" s="115" t="s">
        <v>79</v>
      </c>
      <c r="N31" s="115" t="s">
        <v>79</v>
      </c>
      <c r="O31" s="116" t="s">
        <v>79</v>
      </c>
      <c r="P31" s="115" t="s">
        <v>21</v>
      </c>
      <c r="Q31" s="87" t="s">
        <v>97</v>
      </c>
    </row>
    <row r="32" spans="1:17" ht="75" x14ac:dyDescent="0.25">
      <c r="A32" s="117">
        <v>80</v>
      </c>
      <c r="B32" s="115" t="s">
        <v>77</v>
      </c>
      <c r="C32" s="90">
        <v>2523.17</v>
      </c>
      <c r="D32" s="89"/>
      <c r="E32" s="113" t="s">
        <v>91</v>
      </c>
      <c r="F32" s="112" t="s">
        <v>383</v>
      </c>
      <c r="G32" s="115">
        <v>5</v>
      </c>
      <c r="H32" s="115">
        <v>5</v>
      </c>
      <c r="I32" s="115">
        <v>1</v>
      </c>
      <c r="J32" s="115">
        <v>3</v>
      </c>
      <c r="K32" s="115">
        <v>3</v>
      </c>
      <c r="L32" s="115" t="s">
        <v>79</v>
      </c>
      <c r="M32" s="115" t="s">
        <v>79</v>
      </c>
      <c r="N32" s="115" t="s">
        <v>79</v>
      </c>
      <c r="O32" s="115" t="s">
        <v>79</v>
      </c>
      <c r="P32" s="115" t="s">
        <v>21</v>
      </c>
      <c r="Q32" s="87" t="s">
        <v>175</v>
      </c>
    </row>
    <row r="33" spans="1:17" ht="90" x14ac:dyDescent="0.25">
      <c r="A33" s="117" t="s">
        <v>176</v>
      </c>
      <c r="B33" s="115" t="s">
        <v>77</v>
      </c>
      <c r="C33" s="90">
        <v>2529.04</v>
      </c>
      <c r="D33" s="89"/>
      <c r="E33" s="113" t="s">
        <v>219</v>
      </c>
      <c r="F33" s="114" t="s">
        <v>384</v>
      </c>
      <c r="G33" s="115">
        <v>3</v>
      </c>
      <c r="H33" s="115">
        <v>5</v>
      </c>
      <c r="I33" s="115">
        <v>1</v>
      </c>
      <c r="J33" s="115">
        <v>5</v>
      </c>
      <c r="K33" s="115">
        <v>1</v>
      </c>
      <c r="L33" s="115" t="s">
        <v>79</v>
      </c>
      <c r="M33" s="115" t="s">
        <v>213</v>
      </c>
      <c r="N33" s="115" t="s">
        <v>21</v>
      </c>
      <c r="O33" s="115"/>
      <c r="P33" s="115" t="s">
        <v>21</v>
      </c>
      <c r="Q33" s="87" t="s">
        <v>177</v>
      </c>
    </row>
    <row r="34" spans="1:17" ht="60" x14ac:dyDescent="0.25">
      <c r="A34" s="117">
        <v>80</v>
      </c>
      <c r="B34" s="115" t="s">
        <v>77</v>
      </c>
      <c r="C34" s="90">
        <v>2534.0100000000002</v>
      </c>
      <c r="D34" s="89"/>
      <c r="E34" s="112" t="s">
        <v>220</v>
      </c>
      <c r="F34" s="113" t="s">
        <v>385</v>
      </c>
      <c r="G34" s="115">
        <v>5</v>
      </c>
      <c r="H34" s="115">
        <v>1</v>
      </c>
      <c r="I34" s="115">
        <v>5</v>
      </c>
      <c r="J34" s="115">
        <v>5</v>
      </c>
      <c r="K34" s="115">
        <v>5</v>
      </c>
      <c r="L34" s="115" t="s">
        <v>79</v>
      </c>
      <c r="M34" s="115" t="s">
        <v>79</v>
      </c>
      <c r="N34" s="115" t="s">
        <v>79</v>
      </c>
      <c r="O34" s="115"/>
      <c r="P34" s="115" t="s">
        <v>21</v>
      </c>
      <c r="Q34" s="87" t="s">
        <v>178</v>
      </c>
    </row>
    <row r="35" spans="1:17" ht="105" x14ac:dyDescent="0.25">
      <c r="A35" s="116">
        <v>505</v>
      </c>
      <c r="B35" s="115" t="s">
        <v>77</v>
      </c>
      <c r="C35" s="90">
        <v>2529.04</v>
      </c>
      <c r="D35" s="16"/>
      <c r="E35" s="112" t="s">
        <v>219</v>
      </c>
      <c r="F35" s="112" t="s">
        <v>386</v>
      </c>
      <c r="G35" s="115">
        <v>3</v>
      </c>
      <c r="H35" s="115">
        <v>5</v>
      </c>
      <c r="I35" s="115">
        <v>3</v>
      </c>
      <c r="J35" s="115">
        <v>5</v>
      </c>
      <c r="K35" s="115">
        <v>3</v>
      </c>
      <c r="L35" s="115" t="s">
        <v>79</v>
      </c>
      <c r="M35" s="115" t="s">
        <v>79</v>
      </c>
      <c r="N35" s="115" t="s">
        <v>79</v>
      </c>
      <c r="O35" s="115"/>
      <c r="P35" s="115" t="s">
        <v>21</v>
      </c>
      <c r="Q35" s="87" t="s">
        <v>192</v>
      </c>
    </row>
    <row r="36" spans="1:17" ht="45" x14ac:dyDescent="0.25">
      <c r="A36" s="116" t="s">
        <v>20</v>
      </c>
      <c r="B36" s="116" t="s">
        <v>94</v>
      </c>
      <c r="C36" s="85">
        <v>507.01</v>
      </c>
      <c r="D36" s="16"/>
      <c r="E36" s="112" t="s">
        <v>255</v>
      </c>
      <c r="F36" s="112" t="s">
        <v>387</v>
      </c>
      <c r="G36" s="116"/>
      <c r="H36" s="116"/>
      <c r="I36" s="116"/>
      <c r="J36" s="116"/>
      <c r="K36" s="116"/>
      <c r="L36" s="115" t="s">
        <v>79</v>
      </c>
      <c r="M36" s="115" t="s">
        <v>79</v>
      </c>
      <c r="N36" s="115" t="s">
        <v>79</v>
      </c>
      <c r="O36" s="116" t="s">
        <v>79</v>
      </c>
      <c r="P36" s="115" t="s">
        <v>21</v>
      </c>
      <c r="Q36" s="87" t="s">
        <v>95</v>
      </c>
    </row>
    <row r="37" spans="1:17" ht="75" x14ac:dyDescent="0.25">
      <c r="A37" s="117">
        <v>99</v>
      </c>
      <c r="B37" s="115" t="s">
        <v>4</v>
      </c>
      <c r="C37" s="90">
        <v>505.04</v>
      </c>
      <c r="D37" s="16"/>
      <c r="E37" s="112" t="s">
        <v>236</v>
      </c>
      <c r="F37" s="112" t="s">
        <v>388</v>
      </c>
      <c r="G37" s="115">
        <v>5</v>
      </c>
      <c r="H37" s="115">
        <v>5</v>
      </c>
      <c r="I37" s="115">
        <v>1</v>
      </c>
      <c r="J37" s="115">
        <v>5</v>
      </c>
      <c r="K37" s="115">
        <v>1</v>
      </c>
      <c r="L37" s="115" t="s">
        <v>79</v>
      </c>
      <c r="M37" s="115" t="s">
        <v>21</v>
      </c>
      <c r="N37" s="115" t="s">
        <v>21</v>
      </c>
      <c r="O37" s="115" t="s">
        <v>79</v>
      </c>
      <c r="P37" s="115" t="s">
        <v>21</v>
      </c>
      <c r="Q37" s="87" t="s">
        <v>189</v>
      </c>
    </row>
    <row r="38" spans="1:17" ht="90" x14ac:dyDescent="0.25">
      <c r="A38" s="117">
        <v>20</v>
      </c>
      <c r="B38" s="115" t="s">
        <v>4</v>
      </c>
      <c r="C38" s="90">
        <v>506.03</v>
      </c>
      <c r="D38" s="16"/>
      <c r="E38" s="112" t="s">
        <v>237</v>
      </c>
      <c r="F38" s="112" t="s">
        <v>389</v>
      </c>
      <c r="G38" s="115">
        <v>5</v>
      </c>
      <c r="H38" s="115">
        <v>5</v>
      </c>
      <c r="I38" s="115">
        <v>3</v>
      </c>
      <c r="J38" s="115">
        <v>5</v>
      </c>
      <c r="K38" s="115">
        <v>4</v>
      </c>
      <c r="L38" s="115" t="s">
        <v>79</v>
      </c>
      <c r="M38" s="115" t="s">
        <v>79</v>
      </c>
      <c r="N38" s="115" t="s">
        <v>79</v>
      </c>
      <c r="O38" s="115"/>
      <c r="P38" s="115" t="s">
        <v>21</v>
      </c>
      <c r="Q38" s="87" t="s">
        <v>190</v>
      </c>
    </row>
    <row r="39" spans="1:17" ht="105" x14ac:dyDescent="0.25">
      <c r="A39" s="117">
        <v>5</v>
      </c>
      <c r="B39" s="115" t="s">
        <v>74</v>
      </c>
      <c r="C39" s="90">
        <v>112.06</v>
      </c>
      <c r="D39" s="89"/>
      <c r="E39" s="112" t="s">
        <v>214</v>
      </c>
      <c r="F39" s="113" t="s">
        <v>390</v>
      </c>
      <c r="G39" s="115">
        <v>3</v>
      </c>
      <c r="H39" s="115">
        <v>5</v>
      </c>
      <c r="I39" s="115">
        <v>3</v>
      </c>
      <c r="J39" s="115">
        <v>5</v>
      </c>
      <c r="K39" s="115">
        <v>5</v>
      </c>
      <c r="L39" s="115" t="s">
        <v>79</v>
      </c>
      <c r="M39" s="115" t="s">
        <v>79</v>
      </c>
      <c r="N39" s="115" t="s">
        <v>79</v>
      </c>
      <c r="O39" s="115"/>
      <c r="P39" s="115" t="s">
        <v>79</v>
      </c>
      <c r="Q39" s="87" t="s">
        <v>170</v>
      </c>
    </row>
    <row r="40" spans="1:17" ht="90" x14ac:dyDescent="0.25">
      <c r="A40" s="117">
        <v>80</v>
      </c>
      <c r="B40" s="115" t="s">
        <v>74</v>
      </c>
      <c r="C40" s="90">
        <v>105.05</v>
      </c>
      <c r="D40" s="89"/>
      <c r="E40" s="112" t="s">
        <v>221</v>
      </c>
      <c r="F40" s="113" t="s">
        <v>391</v>
      </c>
      <c r="G40" s="115">
        <v>3</v>
      </c>
      <c r="H40" s="115">
        <v>3</v>
      </c>
      <c r="I40" s="115">
        <v>5</v>
      </c>
      <c r="J40" s="115">
        <v>5</v>
      </c>
      <c r="K40" s="115">
        <v>5</v>
      </c>
      <c r="L40" s="115" t="s">
        <v>79</v>
      </c>
      <c r="M40" s="115" t="s">
        <v>79</v>
      </c>
      <c r="N40" s="115" t="s">
        <v>79</v>
      </c>
      <c r="O40" s="115"/>
      <c r="P40" s="115" t="s">
        <v>21</v>
      </c>
      <c r="Q40" s="87" t="s">
        <v>179</v>
      </c>
    </row>
    <row r="41" spans="1:17" ht="90" x14ac:dyDescent="0.25">
      <c r="A41" s="117">
        <v>80</v>
      </c>
      <c r="B41" s="115" t="s">
        <v>5</v>
      </c>
      <c r="C41" s="90">
        <v>102.03</v>
      </c>
      <c r="D41" s="16"/>
      <c r="E41" s="112" t="s">
        <v>235</v>
      </c>
      <c r="F41" s="112" t="s">
        <v>392</v>
      </c>
      <c r="G41" s="115">
        <v>5</v>
      </c>
      <c r="H41" s="115">
        <v>5</v>
      </c>
      <c r="I41" s="115">
        <v>3</v>
      </c>
      <c r="J41" s="115">
        <v>5</v>
      </c>
      <c r="K41" s="115">
        <v>3</v>
      </c>
      <c r="L41" s="115" t="s">
        <v>79</v>
      </c>
      <c r="M41" s="115" t="s">
        <v>79</v>
      </c>
      <c r="N41" s="115" t="s">
        <v>79</v>
      </c>
      <c r="O41" s="115"/>
      <c r="P41" s="115" t="s">
        <v>79</v>
      </c>
      <c r="Q41" s="87" t="s">
        <v>188</v>
      </c>
    </row>
    <row r="42" spans="1:17" ht="90" x14ac:dyDescent="0.25">
      <c r="A42" s="117">
        <v>505</v>
      </c>
      <c r="B42" s="115" t="s">
        <v>5</v>
      </c>
      <c r="C42" s="90">
        <v>113</v>
      </c>
      <c r="D42" s="16"/>
      <c r="E42" s="112" t="s">
        <v>238</v>
      </c>
      <c r="F42" s="112" t="s">
        <v>393</v>
      </c>
      <c r="G42" s="115">
        <v>5</v>
      </c>
      <c r="H42" s="115">
        <v>5</v>
      </c>
      <c r="I42" s="115">
        <v>1</v>
      </c>
      <c r="J42" s="115">
        <v>5</v>
      </c>
      <c r="K42" s="115">
        <v>3</v>
      </c>
      <c r="L42" s="115" t="s">
        <v>79</v>
      </c>
      <c r="M42" s="115" t="s">
        <v>79</v>
      </c>
      <c r="N42" s="115" t="s">
        <v>79</v>
      </c>
      <c r="O42" s="115"/>
      <c r="P42" s="115" t="s">
        <v>21</v>
      </c>
      <c r="Q42" s="87" t="s">
        <v>191</v>
      </c>
    </row>
    <row r="43" spans="1:17" ht="75" x14ac:dyDescent="0.25">
      <c r="A43" s="116">
        <v>65</v>
      </c>
      <c r="B43" s="116" t="s">
        <v>93</v>
      </c>
      <c r="C43" s="85">
        <v>408</v>
      </c>
      <c r="D43" s="16"/>
      <c r="E43" s="112" t="s">
        <v>252</v>
      </c>
      <c r="F43" s="112" t="s">
        <v>394</v>
      </c>
      <c r="G43" s="116">
        <v>3</v>
      </c>
      <c r="H43" s="116">
        <v>3</v>
      </c>
      <c r="I43" s="116">
        <v>1</v>
      </c>
      <c r="J43" s="116">
        <v>5</v>
      </c>
      <c r="K43" s="116">
        <v>5</v>
      </c>
      <c r="L43" s="115" t="s">
        <v>79</v>
      </c>
      <c r="M43" s="115" t="s">
        <v>79</v>
      </c>
      <c r="N43" s="115" t="s">
        <v>79</v>
      </c>
      <c r="O43" s="116" t="s">
        <v>79</v>
      </c>
      <c r="P43" s="115" t="s">
        <v>21</v>
      </c>
      <c r="Q43" s="87" t="s">
        <v>203</v>
      </c>
    </row>
    <row r="44" spans="1:17" x14ac:dyDescent="0.25">
      <c r="A44" s="82"/>
      <c r="B44" s="82"/>
      <c r="C44" s="83">
        <v>99</v>
      </c>
      <c r="D44" s="84"/>
      <c r="E44" s="92"/>
      <c r="F44" s="91"/>
      <c r="G44" s="27"/>
      <c r="H44" s="27"/>
      <c r="I44" s="27"/>
      <c r="J44" s="27"/>
      <c r="K44" s="27"/>
      <c r="L44" s="27"/>
      <c r="M44" s="27"/>
      <c r="N44" s="27"/>
      <c r="O44" s="27"/>
      <c r="P44" s="27"/>
    </row>
    <row r="45" spans="1:17" x14ac:dyDescent="0.25">
      <c r="A45" s="24"/>
      <c r="B45" s="25"/>
      <c r="C45" s="26">
        <v>96.19</v>
      </c>
      <c r="D45" s="25"/>
      <c r="E45" s="92"/>
      <c r="F45" s="95" t="s">
        <v>395</v>
      </c>
      <c r="G45" s="27"/>
      <c r="H45" s="27"/>
      <c r="I45" s="27"/>
      <c r="J45" s="27"/>
      <c r="K45" s="27"/>
      <c r="L45" s="27"/>
      <c r="M45" s="27"/>
      <c r="N45" s="27"/>
      <c r="O45" s="27"/>
      <c r="P45" s="27"/>
    </row>
    <row r="46" spans="1:17" x14ac:dyDescent="0.25">
      <c r="A46" s="80"/>
      <c r="B46" s="80"/>
      <c r="C46" s="26"/>
      <c r="D46" s="80"/>
      <c r="F46" s="81"/>
      <c r="G46" s="2"/>
      <c r="H46" s="2"/>
      <c r="I46" s="2"/>
      <c r="J46" s="2"/>
      <c r="K46" s="2"/>
      <c r="L46" s="2"/>
      <c r="M46" s="2"/>
      <c r="N46" s="2"/>
      <c r="O46" s="2"/>
      <c r="P46" s="2"/>
    </row>
    <row r="47" spans="1:17" x14ac:dyDescent="0.25">
      <c r="A47" s="24"/>
      <c r="B47" s="25"/>
      <c r="C47" s="26">
        <v>50.02</v>
      </c>
      <c r="D47" s="25"/>
      <c r="E47" s="92"/>
      <c r="F47" s="81"/>
      <c r="G47" s="27"/>
      <c r="H47" s="27"/>
      <c r="I47" s="27"/>
      <c r="J47" s="27"/>
      <c r="K47" s="27"/>
      <c r="L47" s="27"/>
      <c r="M47" s="27"/>
      <c r="N47" s="27"/>
      <c r="O47" s="27"/>
      <c r="P47" s="27"/>
    </row>
    <row r="48" spans="1:17" x14ac:dyDescent="0.25">
      <c r="A48" s="24"/>
      <c r="B48" s="25"/>
      <c r="C48" s="26">
        <v>49.04</v>
      </c>
      <c r="D48" s="25"/>
      <c r="E48" s="92"/>
      <c r="F48" s="81"/>
      <c r="G48" s="27"/>
      <c r="H48" s="27"/>
      <c r="I48" s="27"/>
      <c r="J48" s="27"/>
      <c r="K48" s="27"/>
      <c r="L48" s="27"/>
      <c r="M48" s="27"/>
      <c r="N48" s="27"/>
      <c r="O48" s="27"/>
      <c r="P48" s="27"/>
    </row>
    <row r="49" spans="1:16" x14ac:dyDescent="0.25">
      <c r="A49" s="24"/>
      <c r="B49" s="25"/>
      <c r="C49" s="26">
        <v>45.02</v>
      </c>
      <c r="D49" s="25"/>
      <c r="E49" s="92"/>
      <c r="F49" s="81"/>
      <c r="G49" s="27"/>
      <c r="H49" s="27"/>
      <c r="I49" s="27"/>
      <c r="J49" s="27"/>
      <c r="K49" s="27"/>
      <c r="L49" s="27"/>
      <c r="M49" s="27"/>
      <c r="N49" s="27"/>
      <c r="O49" s="27"/>
      <c r="P49" s="27"/>
    </row>
    <row r="50" spans="1:16" x14ac:dyDescent="0.25">
      <c r="A50" s="24"/>
      <c r="B50" s="25"/>
      <c r="C50" s="26"/>
      <c r="D50" s="25"/>
      <c r="E50" s="92"/>
      <c r="F50" s="81"/>
      <c r="G50" s="27"/>
      <c r="H50" s="27"/>
      <c r="I50" s="27"/>
      <c r="J50" s="27"/>
      <c r="K50" s="27"/>
      <c r="L50" s="27"/>
      <c r="M50" s="27"/>
      <c r="N50" s="27"/>
      <c r="O50" s="27"/>
      <c r="P50" s="27"/>
    </row>
    <row r="51" spans="1:16" x14ac:dyDescent="0.25">
      <c r="A51" s="24"/>
      <c r="B51" s="25"/>
      <c r="C51" s="26">
        <v>112.05</v>
      </c>
      <c r="D51" s="25"/>
      <c r="F51" s="92"/>
      <c r="G51" s="27"/>
      <c r="H51" s="27"/>
      <c r="I51" s="27"/>
      <c r="J51" s="27"/>
      <c r="K51" s="27"/>
      <c r="L51" s="27"/>
      <c r="M51" s="27"/>
      <c r="N51" s="27"/>
      <c r="O51" s="27"/>
      <c r="P51" s="27"/>
    </row>
    <row r="52" spans="1:16" x14ac:dyDescent="0.25">
      <c r="A52" s="24"/>
      <c r="B52" s="25"/>
      <c r="C52" s="26">
        <v>111.03</v>
      </c>
      <c r="D52" s="25"/>
      <c r="F52" s="92"/>
      <c r="G52" s="27"/>
      <c r="H52" s="27"/>
      <c r="I52" s="27"/>
      <c r="J52" s="27"/>
      <c r="K52" s="27"/>
      <c r="L52" s="27"/>
      <c r="M52" s="27"/>
      <c r="N52" s="27"/>
      <c r="O52" s="27"/>
      <c r="P52" s="27"/>
    </row>
    <row r="53" spans="1:16" x14ac:dyDescent="0.25">
      <c r="A53" s="24"/>
      <c r="B53" s="25"/>
      <c r="C53" s="26">
        <v>108</v>
      </c>
      <c r="D53" s="25"/>
      <c r="F53" s="92"/>
      <c r="G53" s="27"/>
      <c r="H53" s="27"/>
      <c r="I53" s="27"/>
      <c r="J53" s="27"/>
      <c r="K53" s="27"/>
      <c r="L53" s="27"/>
      <c r="M53" s="27"/>
      <c r="N53" s="27"/>
      <c r="O53" s="27"/>
      <c r="P53" s="27"/>
    </row>
    <row r="54" spans="1:16" x14ac:dyDescent="0.25">
      <c r="A54" s="24"/>
      <c r="B54" s="25"/>
      <c r="C54" s="26">
        <v>203.09</v>
      </c>
      <c r="D54" s="25"/>
      <c r="F54" s="92"/>
      <c r="G54" s="27"/>
      <c r="H54" s="27"/>
      <c r="I54" s="27"/>
      <c r="J54" s="27"/>
      <c r="K54" s="27"/>
      <c r="L54" s="27"/>
      <c r="M54" s="27"/>
      <c r="N54" s="27"/>
      <c r="O54" s="27"/>
      <c r="P54" s="27"/>
    </row>
    <row r="55" spans="1:16" x14ac:dyDescent="0.25">
      <c r="A55" s="24"/>
      <c r="B55" s="25"/>
      <c r="C55" s="26">
        <v>204.01</v>
      </c>
      <c r="D55" s="25"/>
      <c r="E55" s="81"/>
      <c r="F55" s="92"/>
      <c r="G55" s="27"/>
      <c r="H55" s="27"/>
      <c r="I55" s="27"/>
      <c r="J55" s="27"/>
      <c r="K55" s="27"/>
      <c r="L55" s="27"/>
      <c r="M55" s="27"/>
      <c r="N55" s="27"/>
      <c r="O55" s="27"/>
      <c r="P55" s="27"/>
    </row>
    <row r="56" spans="1:16" x14ac:dyDescent="0.25">
      <c r="A56" s="24"/>
      <c r="B56" s="25"/>
      <c r="C56" s="26">
        <v>80.05</v>
      </c>
      <c r="D56" s="25"/>
      <c r="F56" s="92"/>
      <c r="G56" s="27"/>
      <c r="H56" s="27"/>
      <c r="I56" s="27"/>
      <c r="J56" s="27"/>
      <c r="K56" s="27"/>
      <c r="L56" s="27"/>
      <c r="M56" s="27"/>
      <c r="N56" s="27"/>
      <c r="O56" s="27"/>
      <c r="P56" s="27"/>
    </row>
    <row r="57" spans="1:16" x14ac:dyDescent="0.25">
      <c r="A57" s="24"/>
      <c r="B57" s="25"/>
      <c r="C57" s="26">
        <v>87.05</v>
      </c>
      <c r="D57" s="25"/>
      <c r="F57" s="92"/>
      <c r="G57" s="27"/>
      <c r="H57" s="27"/>
      <c r="I57" s="27"/>
      <c r="J57" s="27"/>
      <c r="K57" s="27"/>
      <c r="L57" s="27"/>
      <c r="M57" s="27"/>
      <c r="N57" s="27"/>
      <c r="O57" s="27"/>
      <c r="P57" s="27"/>
    </row>
    <row r="58" spans="1:16" x14ac:dyDescent="0.25">
      <c r="A58" s="24"/>
      <c r="B58" s="25"/>
      <c r="C58" s="26">
        <v>84.03</v>
      </c>
      <c r="D58" s="25"/>
      <c r="F58" s="92"/>
      <c r="G58" s="27"/>
      <c r="H58" s="27"/>
      <c r="I58" s="27"/>
      <c r="J58" s="27"/>
      <c r="K58" s="27"/>
      <c r="L58" s="27"/>
      <c r="M58" s="27"/>
      <c r="N58" s="27"/>
      <c r="O58" s="27"/>
      <c r="P58" s="27"/>
    </row>
    <row r="59" spans="1:16" x14ac:dyDescent="0.25">
      <c r="A59" s="24"/>
      <c r="B59" s="25"/>
      <c r="C59" s="26">
        <v>313.02</v>
      </c>
      <c r="D59" s="25"/>
      <c r="F59" s="93"/>
      <c r="G59" s="27"/>
      <c r="H59" s="27"/>
      <c r="I59" s="27"/>
      <c r="J59" s="27"/>
      <c r="K59" s="27"/>
      <c r="L59" s="27"/>
      <c r="M59" s="27"/>
      <c r="N59" s="27"/>
      <c r="O59" s="27"/>
      <c r="P59" s="27"/>
    </row>
    <row r="60" spans="1:16" x14ac:dyDescent="0.25">
      <c r="A60" s="24"/>
      <c r="B60" s="25"/>
      <c r="C60" s="26">
        <v>319</v>
      </c>
      <c r="D60" s="25"/>
      <c r="F60" s="93"/>
      <c r="G60" s="27"/>
      <c r="H60" s="27"/>
      <c r="I60" s="27"/>
      <c r="J60" s="27"/>
      <c r="K60" s="27"/>
      <c r="L60" s="27"/>
      <c r="M60" s="27"/>
      <c r="N60" s="27"/>
      <c r="O60" s="27"/>
      <c r="P60" s="27"/>
    </row>
    <row r="61" spans="1:16" x14ac:dyDescent="0.25">
      <c r="A61" s="24"/>
      <c r="B61" s="25"/>
      <c r="C61" s="26">
        <v>314.05</v>
      </c>
      <c r="D61" s="25"/>
      <c r="F61" s="93"/>
      <c r="G61" s="27"/>
      <c r="H61" s="27"/>
      <c r="I61" s="27"/>
      <c r="J61" s="27"/>
      <c r="K61" s="27"/>
      <c r="L61" s="27"/>
      <c r="M61" s="27"/>
      <c r="N61" s="27"/>
      <c r="O61" s="27"/>
      <c r="P61" s="27"/>
    </row>
    <row r="62" spans="1:16" x14ac:dyDescent="0.25">
      <c r="A62" s="24"/>
      <c r="B62" s="25"/>
      <c r="C62" s="26">
        <v>231</v>
      </c>
      <c r="D62" s="25"/>
      <c r="E62" s="92"/>
      <c r="F62" s="93"/>
      <c r="G62" s="27"/>
      <c r="H62" s="27"/>
      <c r="I62" s="27"/>
      <c r="J62" s="27"/>
      <c r="K62" s="27"/>
      <c r="L62" s="27"/>
      <c r="M62" s="27"/>
      <c r="N62" s="27"/>
      <c r="O62" s="27"/>
      <c r="P62" s="27"/>
    </row>
    <row r="63" spans="1:16" x14ac:dyDescent="0.25">
      <c r="A63" s="24"/>
      <c r="B63" s="25"/>
      <c r="C63" s="26">
        <v>230</v>
      </c>
      <c r="D63" s="25"/>
      <c r="E63" s="92"/>
      <c r="F63" s="93"/>
      <c r="G63" s="27"/>
      <c r="H63" s="27"/>
      <c r="I63" s="27"/>
      <c r="J63" s="27"/>
      <c r="K63" s="27"/>
      <c r="L63" s="27"/>
      <c r="M63" s="27"/>
      <c r="N63" s="27"/>
      <c r="O63" s="27"/>
      <c r="P63" s="27"/>
    </row>
    <row r="64" spans="1:16" x14ac:dyDescent="0.25">
      <c r="A64" s="24"/>
      <c r="B64" s="25"/>
      <c r="C64" s="26">
        <v>213.09</v>
      </c>
      <c r="D64" s="25"/>
      <c r="E64" s="92"/>
      <c r="F64" s="93"/>
      <c r="G64" s="27"/>
      <c r="H64" s="27"/>
      <c r="I64" s="27"/>
      <c r="J64" s="27"/>
      <c r="K64" s="27"/>
      <c r="L64" s="27"/>
      <c r="M64" s="27"/>
      <c r="N64" s="27"/>
      <c r="O64" s="27"/>
      <c r="P64" s="27"/>
    </row>
    <row r="65" spans="1:16" x14ac:dyDescent="0.25">
      <c r="A65" s="24"/>
      <c r="B65" s="25"/>
      <c r="C65" s="26">
        <v>2532.06</v>
      </c>
      <c r="D65" s="25"/>
      <c r="E65" s="92"/>
      <c r="F65" s="94"/>
      <c r="G65" s="27"/>
      <c r="H65" s="27"/>
      <c r="I65" s="27"/>
      <c r="J65" s="27"/>
      <c r="K65" s="27"/>
      <c r="L65" s="27"/>
      <c r="M65" s="27"/>
      <c r="N65" s="27"/>
      <c r="O65" s="27"/>
      <c r="P65" s="27"/>
    </row>
    <row r="66" spans="1:16" x14ac:dyDescent="0.25">
      <c r="A66" s="24"/>
      <c r="B66" s="25"/>
      <c r="C66" s="26">
        <v>2529.11</v>
      </c>
      <c r="D66" s="25"/>
      <c r="E66" s="92"/>
      <c r="F66" s="94"/>
      <c r="G66" s="27"/>
      <c r="H66" s="27"/>
      <c r="I66" s="27"/>
      <c r="J66" s="27"/>
      <c r="K66" s="27"/>
      <c r="L66" s="27"/>
      <c r="M66" s="27"/>
      <c r="N66" s="27"/>
      <c r="O66" s="27"/>
      <c r="P66" s="27"/>
    </row>
    <row r="67" spans="1:16" x14ac:dyDescent="0.25">
      <c r="A67" s="24"/>
      <c r="B67" s="25"/>
      <c r="C67" s="26">
        <v>2531.08</v>
      </c>
      <c r="D67" s="25"/>
      <c r="F67" s="92"/>
      <c r="G67" s="27"/>
      <c r="H67" s="27"/>
      <c r="I67" s="27"/>
      <c r="J67" s="27"/>
      <c r="K67" s="27"/>
      <c r="L67" s="27"/>
      <c r="M67" s="27"/>
      <c r="N67" s="27"/>
      <c r="O67" s="27"/>
      <c r="P67" s="27"/>
    </row>
    <row r="68" spans="1:16" x14ac:dyDescent="0.25">
      <c r="A68" s="24"/>
      <c r="B68" s="25"/>
      <c r="C68" s="26">
        <v>2531.0700000000002</v>
      </c>
      <c r="D68" s="25"/>
      <c r="F68" s="92"/>
      <c r="G68" s="27"/>
      <c r="H68" s="27"/>
      <c r="I68" s="27"/>
      <c r="J68" s="27"/>
      <c r="K68" s="27"/>
      <c r="L68" s="27"/>
      <c r="M68" s="27"/>
      <c r="N68" s="27"/>
      <c r="O68" s="27"/>
      <c r="P68" s="27"/>
    </row>
    <row r="69" spans="1:16" x14ac:dyDescent="0.25">
      <c r="A69" s="24"/>
      <c r="B69" s="25"/>
      <c r="C69" s="26">
        <v>2532.0300000000002</v>
      </c>
      <c r="D69" s="25"/>
      <c r="F69" s="92"/>
      <c r="G69" s="27"/>
      <c r="H69" s="27"/>
      <c r="I69" s="27"/>
      <c r="J69" s="27"/>
      <c r="K69" s="27"/>
      <c r="L69" s="27"/>
      <c r="M69" s="27"/>
      <c r="N69" s="27"/>
      <c r="O69" s="27"/>
      <c r="P69" s="27"/>
    </row>
    <row r="70" spans="1:16" x14ac:dyDescent="0.25">
      <c r="A70" s="24"/>
      <c r="B70" s="25"/>
      <c r="C70" s="26">
        <v>106.07</v>
      </c>
      <c r="D70" s="25"/>
      <c r="F70" s="92"/>
      <c r="G70" s="27"/>
      <c r="H70" s="27"/>
      <c r="I70" s="27"/>
      <c r="J70" s="27"/>
      <c r="K70" s="27"/>
      <c r="L70" s="27"/>
      <c r="M70" s="27"/>
      <c r="N70" s="27"/>
      <c r="O70" s="27"/>
      <c r="P70" s="27"/>
    </row>
    <row r="71" spans="1:16" x14ac:dyDescent="0.25">
      <c r="A71" s="24"/>
      <c r="B71" s="25"/>
      <c r="C71" s="26">
        <v>106.05</v>
      </c>
      <c r="D71" s="25"/>
      <c r="E71" s="81"/>
      <c r="F71" s="92"/>
      <c r="G71" s="27"/>
      <c r="H71" s="27"/>
      <c r="I71" s="27"/>
      <c r="J71" s="27"/>
      <c r="K71" s="27"/>
      <c r="L71" s="27"/>
      <c r="M71" s="27"/>
      <c r="N71" s="27"/>
      <c r="O71" s="27"/>
      <c r="P71" s="27"/>
    </row>
    <row r="72" spans="1:16" x14ac:dyDescent="0.25">
      <c r="A72" s="24"/>
      <c r="B72" s="25"/>
      <c r="C72" s="26">
        <v>104.01</v>
      </c>
      <c r="D72" s="25"/>
      <c r="E72" s="81"/>
      <c r="F72" s="92"/>
      <c r="G72" s="27"/>
      <c r="H72" s="27"/>
      <c r="I72" s="27"/>
      <c r="J72" s="27"/>
      <c r="K72" s="27"/>
      <c r="L72" s="27"/>
      <c r="M72" s="27"/>
      <c r="N72" s="27"/>
      <c r="O72" s="27"/>
      <c r="P72" s="27"/>
    </row>
    <row r="73" spans="1:16" x14ac:dyDescent="0.25">
      <c r="A73" s="24"/>
      <c r="B73" s="25"/>
      <c r="C73" s="26">
        <v>70.180000000000007</v>
      </c>
      <c r="D73" s="25"/>
      <c r="E73" s="81"/>
      <c r="F73" s="92"/>
      <c r="G73" s="27"/>
      <c r="H73" s="27"/>
      <c r="I73" s="27"/>
      <c r="J73" s="27"/>
      <c r="K73" s="27"/>
      <c r="L73" s="27"/>
      <c r="M73" s="27"/>
      <c r="N73" s="27"/>
      <c r="O73" s="27"/>
      <c r="P73" s="27"/>
    </row>
    <row r="74" spans="1:16" x14ac:dyDescent="0.25">
      <c r="A74" s="24"/>
      <c r="B74" s="25"/>
      <c r="C74" s="26">
        <v>70.040000000000006</v>
      </c>
      <c r="D74" s="25"/>
      <c r="E74" s="81"/>
      <c r="F74" s="92"/>
      <c r="G74" s="27"/>
      <c r="H74" s="27"/>
      <c r="I74" s="27"/>
      <c r="J74" s="27"/>
      <c r="K74" s="27"/>
      <c r="L74" s="27"/>
      <c r="M74" s="27"/>
      <c r="N74" s="27"/>
      <c r="O74" s="27"/>
      <c r="P74" s="27"/>
    </row>
    <row r="75" spans="1:16" x14ac:dyDescent="0.25">
      <c r="A75" s="24"/>
      <c r="B75" s="25"/>
      <c r="C75" s="26">
        <v>70.16</v>
      </c>
      <c r="D75" s="25"/>
      <c r="E75" s="81"/>
      <c r="F75" s="92"/>
      <c r="G75" s="27"/>
      <c r="H75" s="27"/>
      <c r="I75" s="27"/>
      <c r="J75" s="27"/>
      <c r="K75" s="27"/>
      <c r="L75" s="27"/>
      <c r="M75" s="27"/>
      <c r="N75" s="27"/>
      <c r="O75" s="27"/>
      <c r="P75" s="27"/>
    </row>
    <row r="76" spans="1:16" x14ac:dyDescent="0.25">
      <c r="A76" s="15"/>
      <c r="B76" s="14"/>
      <c r="C76" s="23">
        <v>70.150000000000006</v>
      </c>
      <c r="D76" s="14"/>
      <c r="F76" s="92"/>
      <c r="G76" s="27"/>
      <c r="H76" s="27"/>
      <c r="I76" s="27"/>
      <c r="J76" s="27"/>
      <c r="K76" s="27"/>
      <c r="L76" s="27"/>
      <c r="M76" s="27"/>
      <c r="N76" s="27"/>
      <c r="O76" s="27"/>
      <c r="P76" s="27"/>
    </row>
    <row r="77" spans="1:16" x14ac:dyDescent="0.25">
      <c r="A77" s="15"/>
      <c r="B77" s="14"/>
      <c r="C77" s="23">
        <v>74.27</v>
      </c>
      <c r="D77" s="14"/>
      <c r="F77" s="92"/>
      <c r="G77" s="27"/>
      <c r="H77" s="27"/>
      <c r="I77" s="27"/>
      <c r="J77" s="27"/>
      <c r="K77" s="27"/>
      <c r="L77" s="27"/>
      <c r="M77" s="27"/>
      <c r="N77" s="27"/>
      <c r="O77" s="27"/>
      <c r="P77" s="27"/>
    </row>
    <row r="78" spans="1:16" x14ac:dyDescent="0.25">
      <c r="A78" s="15"/>
      <c r="B78" s="14"/>
      <c r="C78" s="23">
        <v>74.260000000000005</v>
      </c>
      <c r="D78" s="14"/>
      <c r="F78" s="92"/>
      <c r="G78" s="27"/>
      <c r="H78" s="27"/>
      <c r="I78" s="27"/>
      <c r="J78" s="27"/>
      <c r="K78" s="27"/>
      <c r="L78" s="27"/>
      <c r="M78" s="27"/>
      <c r="N78" s="27"/>
      <c r="O78" s="27"/>
      <c r="P78" s="27"/>
    </row>
    <row r="79" spans="1:16" x14ac:dyDescent="0.25">
      <c r="A79" s="15"/>
      <c r="B79" s="14"/>
      <c r="C79" s="23">
        <v>72.06</v>
      </c>
      <c r="D79" s="14"/>
      <c r="F79" s="92"/>
      <c r="G79" s="27"/>
      <c r="H79" s="27"/>
      <c r="I79" s="27"/>
      <c r="J79" s="27"/>
      <c r="K79" s="27"/>
      <c r="L79" s="27"/>
      <c r="M79" s="27"/>
      <c r="N79" s="27"/>
      <c r="O79" s="27"/>
      <c r="P79" s="27"/>
    </row>
    <row r="80" spans="1:16" x14ac:dyDescent="0.25">
      <c r="A80" s="15"/>
      <c r="B80" s="14"/>
      <c r="C80" s="23">
        <v>72.069999999999993</v>
      </c>
      <c r="D80" s="14"/>
      <c r="F80" s="92"/>
      <c r="G80" s="27"/>
      <c r="H80" s="27"/>
      <c r="I80" s="27"/>
      <c r="J80" s="27"/>
      <c r="K80" s="27"/>
      <c r="L80" s="27"/>
      <c r="M80" s="27"/>
      <c r="N80" s="27"/>
      <c r="O80" s="27"/>
      <c r="P80" s="27"/>
    </row>
    <row r="81" spans="1:16" x14ac:dyDescent="0.25">
      <c r="A81" s="15"/>
      <c r="B81" s="14"/>
      <c r="C81" s="23">
        <v>208.06</v>
      </c>
      <c r="D81" s="14"/>
      <c r="E81" s="92"/>
      <c r="G81" s="27"/>
      <c r="H81" s="27"/>
      <c r="I81" s="27"/>
      <c r="J81" s="27"/>
      <c r="K81" s="27"/>
      <c r="L81" s="27"/>
      <c r="M81" s="27"/>
      <c r="N81" s="27"/>
      <c r="O81" s="27"/>
      <c r="P81" s="27"/>
    </row>
    <row r="82" spans="1:16" x14ac:dyDescent="0.25">
      <c r="A82" s="15"/>
      <c r="B82" s="14"/>
      <c r="C82" s="23">
        <v>210.03</v>
      </c>
      <c r="D82" s="14"/>
      <c r="E82" s="92"/>
      <c r="G82" s="27"/>
      <c r="H82" s="27"/>
      <c r="I82" s="27"/>
      <c r="J82" s="27"/>
      <c r="K82" s="27"/>
      <c r="L82" s="27"/>
      <c r="M82" s="27"/>
      <c r="N82" s="27"/>
      <c r="O82" s="27"/>
      <c r="P82" s="27"/>
    </row>
    <row r="83" spans="1:16" x14ac:dyDescent="0.25">
      <c r="A83" s="15"/>
      <c r="B83" s="14"/>
      <c r="C83" s="23">
        <v>207.12</v>
      </c>
      <c r="D83" s="14"/>
      <c r="E83" s="92"/>
      <c r="G83" s="27"/>
      <c r="H83" s="27"/>
      <c r="I83" s="27"/>
      <c r="J83" s="27"/>
      <c r="K83" s="27"/>
      <c r="L83" s="27"/>
      <c r="M83" s="27"/>
      <c r="N83" s="27"/>
      <c r="O83" s="27"/>
      <c r="P83" s="27"/>
    </row>
    <row r="84" spans="1:16" x14ac:dyDescent="0.25">
      <c r="A84" s="15"/>
      <c r="B84" s="14"/>
      <c r="C84" s="23">
        <v>206.02</v>
      </c>
      <c r="D84" s="14"/>
      <c r="F84" s="92"/>
      <c r="G84" s="27"/>
      <c r="H84" s="27"/>
      <c r="I84" s="27"/>
      <c r="J84" s="27"/>
      <c r="K84" s="27"/>
      <c r="L84" s="27"/>
      <c r="M84" s="27"/>
      <c r="N84" s="27"/>
      <c r="O84" s="27"/>
      <c r="P84" s="27"/>
    </row>
    <row r="85" spans="1:16" x14ac:dyDescent="0.25">
      <c r="A85" s="15"/>
      <c r="B85" s="14"/>
      <c r="C85" s="23">
        <v>212.04</v>
      </c>
      <c r="D85" s="14"/>
      <c r="F85" s="92"/>
      <c r="G85" s="27"/>
      <c r="H85" s="27"/>
      <c r="I85" s="27"/>
      <c r="J85" s="27"/>
      <c r="K85" s="27"/>
      <c r="L85" s="27"/>
      <c r="M85" s="27"/>
      <c r="N85" s="27"/>
      <c r="O85" s="27"/>
      <c r="P85" s="27"/>
    </row>
    <row r="86" spans="1:16" x14ac:dyDescent="0.25">
      <c r="A86" s="15"/>
      <c r="B86" s="14"/>
      <c r="C86" s="23">
        <v>205.01</v>
      </c>
      <c r="D86" s="14"/>
      <c r="F86" s="92"/>
      <c r="G86" s="27"/>
      <c r="H86" s="27"/>
      <c r="I86" s="27"/>
      <c r="J86" s="27"/>
      <c r="K86" s="27"/>
      <c r="L86" s="27"/>
      <c r="M86" s="27"/>
      <c r="N86" s="27"/>
      <c r="O86" s="27"/>
      <c r="P86" s="27"/>
    </row>
    <row r="87" spans="1:16" x14ac:dyDescent="0.25">
      <c r="A87" s="15"/>
      <c r="B87" s="14"/>
      <c r="C87" s="23">
        <v>212.04</v>
      </c>
      <c r="D87" s="14"/>
      <c r="F87" s="92"/>
      <c r="G87" s="27"/>
      <c r="H87" s="27"/>
      <c r="I87" s="27"/>
      <c r="J87" s="27"/>
      <c r="K87" s="27"/>
      <c r="L87" s="27"/>
      <c r="M87" s="27"/>
      <c r="N87" s="27"/>
      <c r="O87" s="27"/>
      <c r="P87" s="27"/>
    </row>
    <row r="88" spans="1:16" x14ac:dyDescent="0.25">
      <c r="A88" s="15"/>
      <c r="B88" s="14"/>
      <c r="C88" s="23">
        <v>205.01</v>
      </c>
      <c r="D88" s="14"/>
      <c r="F88" s="92"/>
      <c r="G88" s="27"/>
      <c r="H88" s="27"/>
      <c r="I88" s="27"/>
      <c r="J88" s="27"/>
      <c r="K88" s="27"/>
      <c r="L88" s="27"/>
      <c r="M88" s="27"/>
      <c r="N88" s="27"/>
      <c r="O88" s="27"/>
      <c r="P88" s="27"/>
    </row>
    <row r="89" spans="1:16" x14ac:dyDescent="0.25">
      <c r="A89" s="15"/>
      <c r="B89" s="14"/>
      <c r="C89" s="23">
        <v>94.07</v>
      </c>
      <c r="D89" s="14"/>
      <c r="F89" s="92"/>
      <c r="G89" s="27"/>
      <c r="H89" s="27"/>
      <c r="I89" s="27"/>
      <c r="J89" s="27"/>
      <c r="K89" s="27"/>
      <c r="L89" s="27"/>
      <c r="M89" s="27"/>
      <c r="N89" s="27"/>
      <c r="O89" s="27"/>
      <c r="P89" s="27"/>
    </row>
    <row r="90" spans="1:16" x14ac:dyDescent="0.25">
      <c r="A90" s="15"/>
      <c r="B90" s="14"/>
      <c r="C90" s="23">
        <v>95.03</v>
      </c>
      <c r="D90" s="14"/>
      <c r="F90" s="92"/>
      <c r="G90" s="27"/>
      <c r="H90" s="27"/>
      <c r="I90" s="27"/>
      <c r="J90" s="27"/>
      <c r="K90" s="27"/>
      <c r="L90" s="27"/>
      <c r="M90" s="27"/>
      <c r="N90" s="27"/>
      <c r="O90" s="27"/>
      <c r="P90" s="27"/>
    </row>
    <row r="91" spans="1:16" x14ac:dyDescent="0.25">
      <c r="A91" s="15"/>
      <c r="B91" s="14"/>
      <c r="C91" s="23">
        <v>99.04</v>
      </c>
      <c r="D91" s="14"/>
      <c r="F91" s="92"/>
      <c r="G91" s="27"/>
      <c r="H91" s="27"/>
      <c r="I91" s="27"/>
      <c r="J91" s="27"/>
      <c r="K91" s="27"/>
      <c r="L91" s="27"/>
      <c r="M91" s="27"/>
      <c r="N91" s="27"/>
      <c r="O91" s="27"/>
      <c r="P91" s="27"/>
    </row>
    <row r="92" spans="1:16" x14ac:dyDescent="0.25">
      <c r="A92" s="15"/>
      <c r="B92" s="14"/>
      <c r="C92" s="23">
        <v>95.02</v>
      </c>
      <c r="D92" s="14"/>
      <c r="F92" s="92"/>
      <c r="G92" s="27"/>
      <c r="H92" s="27"/>
      <c r="I92" s="27"/>
      <c r="J92" s="27"/>
      <c r="K92" s="27"/>
      <c r="L92" s="27"/>
      <c r="M92" s="27"/>
      <c r="N92" s="27"/>
      <c r="O92" s="27"/>
      <c r="P92" s="27"/>
    </row>
    <row r="93" spans="1:16" x14ac:dyDescent="0.25">
      <c r="A93" s="15"/>
      <c r="B93" s="14"/>
      <c r="C93" s="23">
        <v>94.07</v>
      </c>
      <c r="D93" s="14"/>
      <c r="E93" s="92"/>
      <c r="G93" s="27"/>
      <c r="H93" s="27"/>
      <c r="I93" s="27"/>
      <c r="J93" s="27"/>
      <c r="K93" s="27"/>
      <c r="L93" s="27"/>
      <c r="M93" s="27"/>
      <c r="N93" s="27"/>
      <c r="O93" s="27"/>
      <c r="P93" s="27"/>
    </row>
    <row r="94" spans="1:16" x14ac:dyDescent="0.25">
      <c r="A94" s="15"/>
      <c r="B94" s="14"/>
      <c r="C94" s="23">
        <v>95.02</v>
      </c>
      <c r="D94" s="14"/>
      <c r="E94" s="92"/>
      <c r="G94" s="27"/>
      <c r="H94" s="27"/>
      <c r="I94" s="27"/>
      <c r="J94" s="27"/>
      <c r="K94" s="27"/>
      <c r="L94" s="27"/>
      <c r="M94" s="27"/>
      <c r="N94" s="27"/>
      <c r="O94" s="27"/>
      <c r="P94" s="27"/>
    </row>
    <row r="95" spans="1:16" x14ac:dyDescent="0.25">
      <c r="A95" s="15"/>
      <c r="B95" s="14"/>
      <c r="C95" s="23">
        <v>95.03</v>
      </c>
      <c r="D95" s="14"/>
      <c r="E95" s="92"/>
      <c r="G95" s="27"/>
      <c r="H95" s="27"/>
      <c r="I95" s="27"/>
      <c r="J95" s="27"/>
      <c r="K95" s="27"/>
      <c r="L95" s="27"/>
      <c r="M95" s="27"/>
      <c r="N95" s="27"/>
      <c r="O95" s="27"/>
      <c r="P95" s="27"/>
    </row>
    <row r="96" spans="1:16" x14ac:dyDescent="0.25">
      <c r="A96" s="15"/>
      <c r="B96" s="14"/>
      <c r="C96" s="23">
        <v>95.01</v>
      </c>
      <c r="D96" s="14"/>
      <c r="E96" s="92"/>
      <c r="G96" s="27"/>
      <c r="H96" s="27"/>
      <c r="I96" s="27"/>
      <c r="J96" s="27"/>
      <c r="K96" s="27"/>
      <c r="L96" s="27"/>
      <c r="M96" s="27"/>
      <c r="N96" s="27"/>
      <c r="O96" s="27"/>
      <c r="P96" s="27"/>
    </row>
    <row r="97" spans="1:16" x14ac:dyDescent="0.25">
      <c r="A97" s="15"/>
      <c r="B97" s="14"/>
      <c r="C97" s="23">
        <v>112.06</v>
      </c>
      <c r="G97" s="27"/>
      <c r="H97" s="27"/>
      <c r="I97" s="27"/>
      <c r="J97" s="27"/>
      <c r="K97" s="27"/>
      <c r="L97" s="27"/>
      <c r="M97" s="27"/>
      <c r="N97" s="27"/>
      <c r="O97" s="27"/>
      <c r="P97" s="27"/>
    </row>
    <row r="98" spans="1:16" x14ac:dyDescent="0.25">
      <c r="A98" s="15"/>
      <c r="B98" s="14"/>
      <c r="C98" s="23">
        <v>101.02</v>
      </c>
      <c r="G98" s="27"/>
      <c r="H98" s="27"/>
      <c r="I98" s="27"/>
      <c r="J98" s="27"/>
      <c r="K98" s="27"/>
      <c r="L98" s="27"/>
      <c r="M98" s="27"/>
      <c r="N98" s="27"/>
      <c r="O98" s="27"/>
      <c r="P98" s="27"/>
    </row>
    <row r="99" spans="1:16" x14ac:dyDescent="0.25">
      <c r="A99" s="15"/>
      <c r="B99" s="14"/>
      <c r="C99" s="23">
        <v>104.01</v>
      </c>
      <c r="G99" s="27"/>
      <c r="H99" s="27"/>
      <c r="I99" s="27"/>
      <c r="J99" s="27"/>
      <c r="K99" s="27"/>
      <c r="L99" s="27"/>
      <c r="M99" s="27"/>
      <c r="N99" s="27"/>
      <c r="O99" s="27"/>
      <c r="P99" s="27"/>
    </row>
    <row r="100" spans="1:16" x14ac:dyDescent="0.25">
      <c r="A100" s="15"/>
      <c r="B100" s="14"/>
      <c r="C100" s="23">
        <v>504.02</v>
      </c>
      <c r="G100" s="27"/>
      <c r="H100" s="27"/>
      <c r="I100" s="27"/>
      <c r="J100" s="27"/>
      <c r="K100" s="27"/>
      <c r="L100" s="27"/>
      <c r="M100" s="27"/>
      <c r="N100" s="27"/>
      <c r="O100" s="27"/>
      <c r="P100" s="27"/>
    </row>
    <row r="101" spans="1:16" x14ac:dyDescent="0.25">
      <c r="A101" s="15"/>
      <c r="B101" s="14"/>
      <c r="C101" s="23">
        <v>504.01</v>
      </c>
      <c r="G101" s="27"/>
      <c r="H101" s="27"/>
      <c r="I101" s="27"/>
      <c r="J101" s="27"/>
      <c r="K101" s="27"/>
      <c r="L101" s="27"/>
      <c r="M101" s="27"/>
      <c r="N101" s="27"/>
      <c r="O101" s="27"/>
      <c r="P101" s="27"/>
    </row>
    <row r="102" spans="1:16" x14ac:dyDescent="0.25">
      <c r="A102" s="15"/>
      <c r="B102" s="14"/>
      <c r="C102" s="23">
        <v>504.03</v>
      </c>
      <c r="G102" s="27"/>
      <c r="H102" s="27"/>
      <c r="I102" s="27"/>
      <c r="J102" s="27"/>
      <c r="K102" s="27"/>
      <c r="L102" s="27"/>
      <c r="M102" s="27"/>
      <c r="N102" s="27"/>
      <c r="O102" s="27"/>
      <c r="P102" s="27"/>
    </row>
    <row r="103" spans="1:16" x14ac:dyDescent="0.25">
      <c r="A103" s="15"/>
      <c r="B103" s="14"/>
      <c r="C103" s="23">
        <v>506.01</v>
      </c>
      <c r="G103" s="27"/>
      <c r="H103" s="27"/>
      <c r="I103" s="27"/>
      <c r="J103" s="27"/>
      <c r="K103" s="27"/>
      <c r="L103" s="27"/>
      <c r="M103" s="27"/>
      <c r="N103" s="27"/>
      <c r="O103" s="27"/>
      <c r="P103" s="27"/>
    </row>
    <row r="104" spans="1:16" x14ac:dyDescent="0.25">
      <c r="A104" s="15"/>
      <c r="B104" s="14"/>
      <c r="C104" s="23">
        <v>505.01</v>
      </c>
      <c r="G104" s="27"/>
      <c r="H104" s="27"/>
      <c r="I104" s="27"/>
      <c r="J104" s="27"/>
      <c r="K104" s="27"/>
      <c r="L104" s="27"/>
      <c r="M104" s="27"/>
      <c r="N104" s="27"/>
      <c r="O104" s="27"/>
      <c r="P104" s="27"/>
    </row>
    <row r="105" spans="1:16" x14ac:dyDescent="0.25">
      <c r="A105" s="15"/>
      <c r="B105" s="14"/>
      <c r="C105" s="23">
        <v>502.01</v>
      </c>
      <c r="G105" s="27"/>
      <c r="H105" s="27"/>
      <c r="I105" s="27"/>
      <c r="J105" s="27"/>
      <c r="K105" s="27"/>
      <c r="L105" s="27"/>
      <c r="M105" s="27"/>
      <c r="N105" s="27"/>
      <c r="O105" s="27"/>
      <c r="P105" s="27"/>
    </row>
    <row r="106" spans="1:16" x14ac:dyDescent="0.25">
      <c r="A106" s="15"/>
      <c r="B106" s="14"/>
      <c r="C106" s="23">
        <v>501.02</v>
      </c>
      <c r="G106" s="27"/>
      <c r="H106" s="27"/>
      <c r="I106" s="27"/>
      <c r="J106" s="27"/>
      <c r="K106" s="27"/>
      <c r="L106" s="27"/>
      <c r="M106" s="27"/>
      <c r="N106" s="27"/>
      <c r="O106" s="27"/>
      <c r="P106" s="27"/>
    </row>
    <row r="107" spans="1:16" x14ac:dyDescent="0.25">
      <c r="A107" s="15"/>
      <c r="B107" s="14"/>
      <c r="C107" s="23"/>
      <c r="G107" s="27"/>
      <c r="H107" s="27"/>
      <c r="I107" s="27"/>
      <c r="J107" s="27"/>
      <c r="K107" s="27"/>
      <c r="L107" s="27"/>
      <c r="M107" s="27"/>
      <c r="N107" s="27"/>
      <c r="O107" s="27"/>
      <c r="P107" s="27"/>
    </row>
    <row r="108" spans="1:16" x14ac:dyDescent="0.25">
      <c r="A108" s="15"/>
      <c r="B108" s="14"/>
      <c r="C108" s="23">
        <v>2533</v>
      </c>
      <c r="G108" s="27"/>
      <c r="H108" s="27"/>
      <c r="I108" s="27"/>
      <c r="J108" s="27"/>
      <c r="K108" s="27"/>
      <c r="L108" s="27"/>
      <c r="M108" s="27"/>
      <c r="N108" s="27"/>
      <c r="O108" s="27"/>
      <c r="P108" s="27"/>
    </row>
    <row r="109" spans="1:16" x14ac:dyDescent="0.25">
      <c r="A109" s="15"/>
      <c r="B109" s="14"/>
      <c r="C109" s="23">
        <v>2529.0300000000002</v>
      </c>
      <c r="G109" s="27"/>
      <c r="H109" s="27"/>
      <c r="I109" s="27"/>
      <c r="J109" s="27"/>
      <c r="K109" s="27"/>
      <c r="L109" s="27"/>
      <c r="M109" s="27"/>
      <c r="N109" s="27"/>
      <c r="O109" s="27"/>
      <c r="P109" s="27"/>
    </row>
    <row r="110" spans="1:16" x14ac:dyDescent="0.25">
      <c r="B110" s="14"/>
      <c r="C110" s="23">
        <v>2532.06</v>
      </c>
      <c r="G110" s="27"/>
      <c r="H110" s="27"/>
      <c r="I110" s="27"/>
      <c r="J110" s="27"/>
      <c r="K110" s="27"/>
      <c r="L110" s="27"/>
      <c r="M110" s="27"/>
      <c r="N110" s="27"/>
      <c r="O110" s="27"/>
      <c r="P110" s="27"/>
    </row>
    <row r="111" spans="1:16" x14ac:dyDescent="0.25">
      <c r="B111" s="14"/>
      <c r="C111" s="23">
        <v>2529.11</v>
      </c>
      <c r="G111" s="27"/>
      <c r="H111" s="27"/>
      <c r="I111" s="27"/>
      <c r="J111" s="27"/>
      <c r="K111" s="27"/>
      <c r="L111" s="27"/>
      <c r="M111" s="27"/>
      <c r="N111" s="27"/>
      <c r="O111" s="27"/>
      <c r="P111" s="27"/>
    </row>
    <row r="112" spans="1:16" x14ac:dyDescent="0.25">
      <c r="B112" s="14"/>
      <c r="C112" s="23">
        <v>2529.0300000000002</v>
      </c>
      <c r="G112" s="27"/>
      <c r="H112" s="27"/>
      <c r="I112" s="27"/>
      <c r="J112" s="27"/>
      <c r="K112" s="27"/>
      <c r="L112" s="27"/>
      <c r="M112" s="27"/>
      <c r="N112" s="27"/>
      <c r="O112" s="27"/>
      <c r="P112" s="27"/>
    </row>
    <row r="113" spans="2:3" x14ac:dyDescent="0.25">
      <c r="B113" s="14"/>
      <c r="C113" s="23">
        <v>92.01</v>
      </c>
    </row>
    <row r="114" spans="2:3" x14ac:dyDescent="0.25">
      <c r="B114" s="14"/>
      <c r="C114" s="23">
        <v>91.11</v>
      </c>
    </row>
    <row r="115" spans="2:3" x14ac:dyDescent="0.25">
      <c r="B115" s="14"/>
      <c r="C115" s="23">
        <v>52.04</v>
      </c>
    </row>
    <row r="116" spans="2:3" x14ac:dyDescent="0.25">
      <c r="B116" s="14"/>
      <c r="C116" s="23">
        <v>64</v>
      </c>
    </row>
    <row r="117" spans="2:3" x14ac:dyDescent="0.25">
      <c r="B117" s="14"/>
      <c r="C117" s="23">
        <v>74.13</v>
      </c>
    </row>
    <row r="118" spans="2:3" x14ac:dyDescent="0.25">
      <c r="B118" s="14"/>
      <c r="C118" s="23">
        <v>63</v>
      </c>
    </row>
    <row r="119" spans="2:3" x14ac:dyDescent="0.25">
      <c r="B119" s="14"/>
      <c r="C119" s="23">
        <v>73.010000000000005</v>
      </c>
    </row>
    <row r="120" spans="2:3" x14ac:dyDescent="0.25">
      <c r="B120" s="14"/>
      <c r="C120" s="23">
        <v>75.040000000000006</v>
      </c>
    </row>
    <row r="121" spans="2:3" x14ac:dyDescent="0.25">
      <c r="B121" s="14"/>
      <c r="C121" s="23">
        <v>73.010000000000005</v>
      </c>
    </row>
    <row r="122" spans="2:3" x14ac:dyDescent="0.25">
      <c r="B122" s="14"/>
      <c r="C122" s="23">
        <v>70.19</v>
      </c>
    </row>
    <row r="123" spans="2:3" x14ac:dyDescent="0.25">
      <c r="B123" s="14"/>
      <c r="C123" s="23">
        <v>67.02</v>
      </c>
    </row>
    <row r="124" spans="2:3" x14ac:dyDescent="0.25">
      <c r="B124" s="14"/>
      <c r="C124" s="23">
        <v>70.040000000000006</v>
      </c>
    </row>
    <row r="125" spans="2:3" x14ac:dyDescent="0.25">
      <c r="B125" s="14"/>
      <c r="C125" s="23">
        <v>45.01</v>
      </c>
    </row>
    <row r="126" spans="2:3" x14ac:dyDescent="0.25">
      <c r="B126" s="14"/>
      <c r="C126" s="23">
        <v>46.02</v>
      </c>
    </row>
    <row r="127" spans="2:3" x14ac:dyDescent="0.25">
      <c r="B127" s="14"/>
      <c r="C127" s="23">
        <v>47.02</v>
      </c>
    </row>
    <row r="128" spans="2:3" x14ac:dyDescent="0.25">
      <c r="B128" s="14"/>
      <c r="C128" s="23">
        <v>41</v>
      </c>
    </row>
    <row r="129" spans="2:3" x14ac:dyDescent="0.25">
      <c r="B129" s="14"/>
      <c r="C129" s="23">
        <v>315.04000000000002</v>
      </c>
    </row>
    <row r="130" spans="2:3" x14ac:dyDescent="0.25">
      <c r="B130" s="14"/>
      <c r="C130" s="23">
        <v>311</v>
      </c>
    </row>
    <row r="131" spans="2:3" x14ac:dyDescent="0.25">
      <c r="B131" s="14"/>
      <c r="C131" s="23">
        <v>314.05</v>
      </c>
    </row>
    <row r="132" spans="2:3" x14ac:dyDescent="0.25">
      <c r="B132" s="14"/>
      <c r="C132" s="23">
        <v>210.34</v>
      </c>
    </row>
    <row r="133" spans="2:3" x14ac:dyDescent="0.25">
      <c r="B133" s="14"/>
      <c r="C133" s="23">
        <v>230</v>
      </c>
    </row>
    <row r="134" spans="2:3" x14ac:dyDescent="0.25">
      <c r="B134" s="14"/>
      <c r="C134" s="23">
        <v>213.22</v>
      </c>
    </row>
    <row r="135" spans="2:3" x14ac:dyDescent="0.25">
      <c r="B135" s="14"/>
      <c r="C135" s="23">
        <v>231</v>
      </c>
    </row>
    <row r="136" spans="2:3" x14ac:dyDescent="0.25">
      <c r="B136" s="14"/>
      <c r="C136" s="23">
        <v>307</v>
      </c>
    </row>
    <row r="137" spans="2:3" x14ac:dyDescent="0.25">
      <c r="B137" s="14"/>
      <c r="C137" s="23">
        <v>318</v>
      </c>
    </row>
    <row r="138" spans="2:3" x14ac:dyDescent="0.25">
      <c r="C138" s="23">
        <v>307</v>
      </c>
    </row>
    <row r="139" spans="2:3" x14ac:dyDescent="0.25">
      <c r="C139" s="23">
        <v>318</v>
      </c>
    </row>
    <row r="140" spans="2:3" x14ac:dyDescent="0.25">
      <c r="C140" s="3">
        <v>233</v>
      </c>
    </row>
    <row r="141" spans="2:3" x14ac:dyDescent="0.25">
      <c r="C141" s="3">
        <v>235</v>
      </c>
    </row>
    <row r="142" spans="2:3" x14ac:dyDescent="0.25">
      <c r="C142" s="3">
        <v>507.02</v>
      </c>
    </row>
    <row r="143" spans="2:3" x14ac:dyDescent="0.25">
      <c r="C143" s="3">
        <v>511</v>
      </c>
    </row>
    <row r="144" spans="2:3" x14ac:dyDescent="0.25">
      <c r="C144" s="3">
        <v>225</v>
      </c>
    </row>
    <row r="145" spans="3:3" x14ac:dyDescent="0.25">
      <c r="C145" s="3">
        <v>52.05</v>
      </c>
    </row>
    <row r="146" spans="3:3" x14ac:dyDescent="0.25">
      <c r="C146" s="3">
        <v>91.12</v>
      </c>
    </row>
    <row r="147" spans="3:3" x14ac:dyDescent="0.25">
      <c r="C147" s="3">
        <v>91.11</v>
      </c>
    </row>
    <row r="148" spans="3:3" x14ac:dyDescent="0.25">
      <c r="C148" s="3">
        <v>90.05</v>
      </c>
    </row>
  </sheetData>
  <sortState xmlns:xlrd2="http://schemas.microsoft.com/office/spreadsheetml/2017/richdata2" ref="A3:Q148">
    <sortCondition ref="B3:B148"/>
  </sortState>
  <mergeCells count="4">
    <mergeCell ref="G1:K1"/>
    <mergeCell ref="L1:N1"/>
    <mergeCell ref="A1:F1"/>
    <mergeCell ref="O1:P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307EC439BB9C4881E1081A5B7EDB3E" ma:contentTypeVersion="15" ma:contentTypeDescription="Create a new document." ma:contentTypeScope="" ma:versionID="3f50dd1d0e652011f72c2af6c74fa26d">
  <xsd:schema xmlns:xsd="http://www.w3.org/2001/XMLSchema" xmlns:xs="http://www.w3.org/2001/XMLSchema" xmlns:p="http://schemas.microsoft.com/office/2006/metadata/properties" xmlns:ns2="c39d0427-23a3-434a-87a3-106c18a58fcc" xmlns:ns3="e66e352d-2b92-4888-a5cf-03034ba3d8fd" targetNamespace="http://schemas.microsoft.com/office/2006/metadata/properties" ma:root="true" ma:fieldsID="400d82b291ea0e9b35c9223a9ec725ec" ns2:_="" ns3:_="">
    <xsd:import namespace="c39d0427-23a3-434a-87a3-106c18a58fcc"/>
    <xsd:import namespace="e66e352d-2b92-4888-a5cf-03034ba3d8f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Archive_x0020_Date" minOccurs="0"/>
                <xsd:element ref="ns3:Reten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9d0427-23a3-434a-87a3-106c18a58fc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66e352d-2b92-4888-a5cf-03034ba3d8f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Archive_x0020_Date" ma:index="20" nillable="true" ma:displayName="Archive Date" ma:description="Date at which file should be fully archived. This will lock the file until the destroy date." ma:format="DateOnly" ma:internalName="Archive_x0020_Date">
      <xsd:simpleType>
        <xsd:restriction base="dms:DateTime"/>
      </xsd:simpleType>
    </xsd:element>
    <xsd:element name="Retention" ma:index="21" nillable="true" ma:displayName="Retention" ma:default="5" ma:internalName="Retentio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tention xmlns="e66e352d-2b92-4888-a5cf-03034ba3d8fd">5</Retention>
    <Archive_x0020_Date xmlns="e66e352d-2b92-4888-a5cf-03034ba3d8fd" xsi:nil="true"/>
    <SharedWithUsers xmlns="c39d0427-23a3-434a-87a3-106c18a58fcc">
      <UserInfo>
        <DisplayName>Nathan Kendall</DisplayName>
        <AccountId>153</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347DDF-F504-4DDF-8EB2-BA205A8436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9d0427-23a3-434a-87a3-106c18a58fcc"/>
    <ds:schemaRef ds:uri="e66e352d-2b92-4888-a5cf-03034ba3d8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B51E16-1F67-4188-B407-2A05FAF7401B}">
  <ds:schemaRefs>
    <ds:schemaRef ds:uri="http://schemas.microsoft.com/office/infopath/2007/PartnerControls"/>
    <ds:schemaRef ds:uri="http://schemas.microsoft.com/office/2006/documentManagement/types"/>
    <ds:schemaRef ds:uri="http://www.w3.org/XML/1998/namespace"/>
    <ds:schemaRef ds:uri="http://schemas.microsoft.com/office/2006/metadata/properties"/>
    <ds:schemaRef ds:uri="http://purl.org/dc/elements/1.1/"/>
    <ds:schemaRef ds:uri="e66e352d-2b92-4888-a5cf-03034ba3d8fd"/>
    <ds:schemaRef ds:uri="http://purl.org/dc/terms/"/>
    <ds:schemaRef ds:uri="http://schemas.openxmlformats.org/package/2006/metadata/core-properties"/>
    <ds:schemaRef ds:uri="c39d0427-23a3-434a-87a3-106c18a58fcc"/>
    <ds:schemaRef ds:uri="http://purl.org/dc/dcmitype/"/>
  </ds:schemaRefs>
</ds:datastoreItem>
</file>

<file path=customXml/itemProps3.xml><?xml version="1.0" encoding="utf-8"?>
<ds:datastoreItem xmlns:ds="http://schemas.openxmlformats.org/officeDocument/2006/customXml" ds:itemID="{CEFADE03-49DD-4233-B712-5220A1F731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Census Tract Demographics</vt:lpstr>
      <vt:lpstr>Scoring Criteria</vt:lpstr>
      <vt:lpstr>Potential Station Locations</vt:lpstr>
      <vt:lpstr>'Scoring Criteria'!_Ref20150069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White</dc:creator>
  <cp:lastModifiedBy>Chris White</cp:lastModifiedBy>
  <cp:lastPrinted>2019-09-19T19:22:35Z</cp:lastPrinted>
  <dcterms:created xsi:type="dcterms:W3CDTF">2019-08-23T16:20:34Z</dcterms:created>
  <dcterms:modified xsi:type="dcterms:W3CDTF">2019-10-01T19:15:29Z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0x01010016307EC439BB9C4881E1081A5B7EDB3E</vt:lpwstr>
  </property>
</Properties>
</file>